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105" yWindow="-105" windowWidth="19425" windowHeight="10425" tabRatio="601" firstSheet="1" activeTab="1"/>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MOF'!$A$2:$G$35</definedName>
    <definedName name="_xlnm.Print_Area" localSheetId="10">'10.Grain Production details'!$A$1:$Z$119</definedName>
    <definedName name="_xlnm.Print_Area" localSheetId="11">'11.F&amp;V Crop Production details'!$A$1:$Z$132</definedName>
    <definedName name="_xlnm.Print_Area" localSheetId="12">'12.Facility 1 - Trading'!$A$1:$J$313</definedName>
    <definedName name="_xlnm.Print_Area" localSheetId="13">'13.Facility 2 Grain Processing'!$A$3:$J$190</definedName>
    <definedName name="_xlnm.Print_Area" localSheetId="14">'14. Facility 3 Warehouse'!$A$1:$K$56</definedName>
    <definedName name="_xlnm.Print_Area" localSheetId="15">'15. Facility 4 Custom Hiring'!$A$1:$U$62</definedName>
    <definedName name="_xlnm.Print_Area" localSheetId="16">'16.Facility 5 Agri Input'!$A$1:$J$284</definedName>
    <definedName name="_xlnm.Print_Area" localSheetId="17">'17.Facility 6 Horti Processing '!$A$1:$J$197</definedName>
    <definedName name="_xlnm.Print_Area" localSheetId="2">'2.Capex Details'!$A$1:$H$123</definedName>
    <definedName name="_xlnm.Print_Area" localSheetId="3">'3.Other Exp &amp; Taxes'!$A$1:$R$105</definedName>
    <definedName name="_xlnm.Print_Area" localSheetId="4">'4.TL repayment sch'!$A$1:$H$98</definedName>
    <definedName name="_xlnm.Print_Area" localSheetId="5">'5.Closing Stock &amp; W Capital'!$A$1:$L$58</definedName>
    <definedName name="_xlnm.Print_Area" localSheetId="6">'6.Cons Profit &amp; Loss'!$A$1:$I$51</definedName>
    <definedName name="_xlnm.Print_Area" localSheetId="7">'7.Balance Sheet'!$A$1:$I$49</definedName>
    <definedName name="_xlnm.Print_Area" localSheetId="8">'8.Cash Flow '!$A$1:$J$35</definedName>
    <definedName name="_xlnm.Print_Area" localSheetId="9">'9. Financial indiacators'!$B$1:$M$186</definedName>
  </definedNames>
  <calcPr calcId="144525" concurrentCalc="0"/>
</workbook>
</file>

<file path=xl/calcChain.xml><?xml version="1.0" encoding="utf-8"?>
<calcChain xmlns="http://schemas.openxmlformats.org/spreadsheetml/2006/main">
  <c r="D118" i="57" l="1"/>
  <c r="G15" i="57"/>
  <c r="G14" i="57"/>
  <c r="G13" i="57"/>
  <c r="G12" i="57"/>
  <c r="G11" i="57"/>
  <c r="G10" i="57"/>
  <c r="G9" i="57"/>
  <c r="B5" i="72"/>
  <c r="B7" i="81"/>
  <c r="B9" i="81"/>
  <c r="D14" i="81"/>
  <c r="F14" i="81"/>
  <c r="H14" i="81"/>
  <c r="B42" i="81"/>
  <c r="B11" i="55"/>
  <c r="B63" i="55"/>
  <c r="B68" i="55"/>
  <c r="B120" i="55"/>
  <c r="D178" i="55"/>
  <c r="D15" i="81"/>
  <c r="F15" i="81"/>
  <c r="H15" i="81"/>
  <c r="B43" i="81"/>
  <c r="B12" i="55"/>
  <c r="B69" i="55"/>
  <c r="B121" i="55"/>
  <c r="D179" i="55"/>
  <c r="D16" i="81"/>
  <c r="F16" i="81"/>
  <c r="H16" i="81"/>
  <c r="B44" i="81"/>
  <c r="B13" i="55"/>
  <c r="B70" i="55"/>
  <c r="B122" i="55"/>
  <c r="D180" i="55"/>
  <c r="D17" i="81"/>
  <c r="F17" i="81"/>
  <c r="H17" i="81"/>
  <c r="B45" i="81"/>
  <c r="B14" i="55"/>
  <c r="B71" i="55"/>
  <c r="B123" i="55"/>
  <c r="D181" i="55"/>
  <c r="D18" i="81"/>
  <c r="F18" i="81"/>
  <c r="H18" i="81"/>
  <c r="B46" i="81"/>
  <c r="B15" i="55"/>
  <c r="B72" i="55"/>
  <c r="B124" i="55"/>
  <c r="D182" i="55"/>
  <c r="D19" i="81"/>
  <c r="F19" i="81"/>
  <c r="H19" i="81"/>
  <c r="B47" i="81"/>
  <c r="B16" i="55"/>
  <c r="B73" i="55"/>
  <c r="B125" i="55"/>
  <c r="D183" i="55"/>
  <c r="D20" i="81"/>
  <c r="F20" i="81"/>
  <c r="H20" i="81"/>
  <c r="B48" i="81"/>
  <c r="B17" i="55"/>
  <c r="B74" i="55"/>
  <c r="B126" i="55"/>
  <c r="D184" i="55"/>
  <c r="D21" i="81"/>
  <c r="F21" i="81"/>
  <c r="H21" i="81"/>
  <c r="B49" i="81"/>
  <c r="B18" i="55"/>
  <c r="B75" i="55"/>
  <c r="B127" i="55"/>
  <c r="D185" i="55"/>
  <c r="D22" i="81"/>
  <c r="F22" i="81"/>
  <c r="H22" i="81"/>
  <c r="B50" i="81"/>
  <c r="B19" i="55"/>
  <c r="B76" i="55"/>
  <c r="B128" i="55"/>
  <c r="D186" i="55"/>
  <c r="C23" i="81"/>
  <c r="D24" i="81"/>
  <c r="F24" i="81"/>
  <c r="H24" i="81"/>
  <c r="B51" i="81"/>
  <c r="B20" i="55"/>
  <c r="B77" i="55"/>
  <c r="B129" i="55"/>
  <c r="D187" i="55"/>
  <c r="D25" i="81"/>
  <c r="F25" i="81"/>
  <c r="H25" i="81"/>
  <c r="B52" i="81"/>
  <c r="B21" i="55"/>
  <c r="B78" i="55"/>
  <c r="B130" i="55"/>
  <c r="D188" i="55"/>
  <c r="D26" i="81"/>
  <c r="F26" i="81"/>
  <c r="H26" i="81"/>
  <c r="B53" i="81"/>
  <c r="B22" i="55"/>
  <c r="B79" i="55"/>
  <c r="B131" i="55"/>
  <c r="D189" i="55"/>
  <c r="D27" i="81"/>
  <c r="F27" i="81"/>
  <c r="H27" i="81"/>
  <c r="B54" i="81"/>
  <c r="B23" i="55"/>
  <c r="B80" i="55"/>
  <c r="B132" i="55"/>
  <c r="D190" i="55"/>
  <c r="D28" i="81"/>
  <c r="F28" i="81"/>
  <c r="H28" i="81"/>
  <c r="B55" i="81"/>
  <c r="B24" i="55"/>
  <c r="B81" i="55"/>
  <c r="B133" i="55"/>
  <c r="D191" i="55"/>
  <c r="D29" i="81"/>
  <c r="F29" i="81"/>
  <c r="H29" i="81"/>
  <c r="B56" i="81"/>
  <c r="B25" i="55"/>
  <c r="B82" i="55"/>
  <c r="B134" i="55"/>
  <c r="D192" i="55"/>
  <c r="D30" i="81"/>
  <c r="F30" i="81"/>
  <c r="H30" i="81"/>
  <c r="B57" i="81"/>
  <c r="B26" i="55"/>
  <c r="B83" i="55"/>
  <c r="B135" i="55"/>
  <c r="D193" i="55"/>
  <c r="D31" i="81"/>
  <c r="F31" i="81"/>
  <c r="H31" i="81"/>
  <c r="B58" i="81"/>
  <c r="B27" i="55"/>
  <c r="B84" i="55"/>
  <c r="B136" i="55"/>
  <c r="D194" i="55"/>
  <c r="C32" i="81"/>
  <c r="D33" i="81"/>
  <c r="F33" i="81"/>
  <c r="H33" i="81"/>
  <c r="B59" i="81"/>
  <c r="B28" i="55"/>
  <c r="B85" i="55"/>
  <c r="B137" i="55"/>
  <c r="D195" i="55"/>
  <c r="D34" i="81"/>
  <c r="F34" i="81"/>
  <c r="H34" i="81"/>
  <c r="B60" i="81"/>
  <c r="B29" i="55"/>
  <c r="B86" i="55"/>
  <c r="B138" i="55"/>
  <c r="D196" i="55"/>
  <c r="D35" i="81"/>
  <c r="F35" i="81"/>
  <c r="H35" i="81"/>
  <c r="B61" i="81"/>
  <c r="B30" i="55"/>
  <c r="B87" i="55"/>
  <c r="B139" i="55"/>
  <c r="D197" i="55"/>
  <c r="D36" i="81"/>
  <c r="F36" i="81"/>
  <c r="H36" i="81"/>
  <c r="B62" i="81"/>
  <c r="B31" i="55"/>
  <c r="B88" i="55"/>
  <c r="B140" i="55"/>
  <c r="D198" i="55"/>
  <c r="B32" i="55"/>
  <c r="B33" i="55"/>
  <c r="B65" i="55"/>
  <c r="D200" i="55"/>
  <c r="B89" i="55"/>
  <c r="B141" i="55"/>
  <c r="D199" i="55"/>
  <c r="B7" i="83"/>
  <c r="B9" i="83"/>
  <c r="D14" i="83"/>
  <c r="F14" i="83"/>
  <c r="H14" i="83"/>
  <c r="B46" i="83"/>
  <c r="B35" i="55"/>
  <c r="B92" i="55"/>
  <c r="B144" i="55"/>
  <c r="D203" i="55"/>
  <c r="D15" i="83"/>
  <c r="F15" i="83"/>
  <c r="H15" i="83"/>
  <c r="B47" i="83"/>
  <c r="B36" i="55"/>
  <c r="B93" i="55"/>
  <c r="B145" i="55"/>
  <c r="D204" i="55"/>
  <c r="D16" i="83"/>
  <c r="F16" i="83"/>
  <c r="H16" i="83"/>
  <c r="B48" i="83"/>
  <c r="B37" i="55"/>
  <c r="B94" i="55"/>
  <c r="B146" i="55"/>
  <c r="D205" i="55"/>
  <c r="D17" i="83"/>
  <c r="F17" i="83"/>
  <c r="H17" i="83"/>
  <c r="B49" i="83"/>
  <c r="B38" i="55"/>
  <c r="B95" i="55"/>
  <c r="B147" i="55"/>
  <c r="D206" i="55"/>
  <c r="D18" i="83"/>
  <c r="F18" i="83"/>
  <c r="H18" i="83"/>
  <c r="B50" i="83"/>
  <c r="B39" i="55"/>
  <c r="B96" i="55"/>
  <c r="B148" i="55"/>
  <c r="D207" i="55"/>
  <c r="D19" i="83"/>
  <c r="F19" i="83"/>
  <c r="H19" i="83"/>
  <c r="B51" i="83"/>
  <c r="B40" i="55"/>
  <c r="B97" i="55"/>
  <c r="B149" i="55"/>
  <c r="D208" i="55"/>
  <c r="D20" i="83"/>
  <c r="F20" i="83"/>
  <c r="H20" i="83"/>
  <c r="B52" i="83"/>
  <c r="B41" i="55"/>
  <c r="B98" i="55"/>
  <c r="B150" i="55"/>
  <c r="D209" i="55"/>
  <c r="D21" i="83"/>
  <c r="F21" i="83"/>
  <c r="H21" i="83"/>
  <c r="B53" i="83"/>
  <c r="B42" i="55"/>
  <c r="B99" i="55"/>
  <c r="B151" i="55"/>
  <c r="D210" i="55"/>
  <c r="D22" i="83"/>
  <c r="F22" i="83"/>
  <c r="H22" i="83"/>
  <c r="B54" i="83"/>
  <c r="B43" i="55"/>
  <c r="B100" i="55"/>
  <c r="B152" i="55"/>
  <c r="D211" i="55"/>
  <c r="C23" i="83"/>
  <c r="D24" i="83"/>
  <c r="F24" i="83"/>
  <c r="H24" i="83"/>
  <c r="B55" i="83"/>
  <c r="B44" i="55"/>
  <c r="B101" i="55"/>
  <c r="B153" i="55"/>
  <c r="D212" i="55"/>
  <c r="D25" i="83"/>
  <c r="F25" i="83"/>
  <c r="H25" i="83"/>
  <c r="B56" i="83"/>
  <c r="B45" i="55"/>
  <c r="B102" i="55"/>
  <c r="B154" i="55"/>
  <c r="D213" i="55"/>
  <c r="D26" i="83"/>
  <c r="F26" i="83"/>
  <c r="H26" i="83"/>
  <c r="B57" i="83"/>
  <c r="B46" i="55"/>
  <c r="B103" i="55"/>
  <c r="B155" i="55"/>
  <c r="D214" i="55"/>
  <c r="D27" i="83"/>
  <c r="F27" i="83"/>
  <c r="H27" i="83"/>
  <c r="B58" i="83"/>
  <c r="B47" i="55"/>
  <c r="B104" i="55"/>
  <c r="B156" i="55"/>
  <c r="D215" i="55"/>
  <c r="D28" i="83"/>
  <c r="F28" i="83"/>
  <c r="H28" i="83"/>
  <c r="B59" i="83"/>
  <c r="B48" i="55"/>
  <c r="B105" i="55"/>
  <c r="B157" i="55"/>
  <c r="D216" i="55"/>
  <c r="D29" i="83"/>
  <c r="F29" i="83"/>
  <c r="H29" i="83"/>
  <c r="B60" i="83"/>
  <c r="B49" i="55"/>
  <c r="B106" i="55"/>
  <c r="B158" i="55"/>
  <c r="D217" i="55"/>
  <c r="D30" i="83"/>
  <c r="F30" i="83"/>
  <c r="H30" i="83"/>
  <c r="B61" i="83"/>
  <c r="B50" i="55"/>
  <c r="B107" i="55"/>
  <c r="B159" i="55"/>
  <c r="D218" i="55"/>
  <c r="D31" i="83"/>
  <c r="F31" i="83"/>
  <c r="H31" i="83"/>
  <c r="B62" i="83"/>
  <c r="B51" i="55"/>
  <c r="B108" i="55"/>
  <c r="B160" i="55"/>
  <c r="D219" i="55"/>
  <c r="C32" i="83"/>
  <c r="D33" i="83"/>
  <c r="F33" i="83"/>
  <c r="H33" i="83"/>
  <c r="B63" i="83"/>
  <c r="B52" i="55"/>
  <c r="B109" i="55"/>
  <c r="B161" i="55"/>
  <c r="D220" i="55"/>
  <c r="B162" i="55"/>
  <c r="D221" i="55"/>
  <c r="B163" i="55"/>
  <c r="D222" i="55"/>
  <c r="B164" i="55"/>
  <c r="D223" i="55"/>
  <c r="D37" i="83"/>
  <c r="F37" i="83"/>
  <c r="H37" i="83"/>
  <c r="B67" i="83"/>
  <c r="B56" i="55"/>
  <c r="B113" i="55"/>
  <c r="B165" i="55"/>
  <c r="D224" i="55"/>
  <c r="D38" i="83"/>
  <c r="F38" i="83"/>
  <c r="H38" i="83"/>
  <c r="B68" i="83"/>
  <c r="B57" i="55"/>
  <c r="B114" i="55"/>
  <c r="B166" i="55"/>
  <c r="D225" i="55"/>
  <c r="D39" i="83"/>
  <c r="F39" i="83"/>
  <c r="H39" i="83"/>
  <c r="B69" i="83"/>
  <c r="B58" i="55"/>
  <c r="B115" i="55"/>
  <c r="B167" i="55"/>
  <c r="D226" i="55"/>
  <c r="D40" i="83"/>
  <c r="F40" i="83"/>
  <c r="H40" i="83"/>
  <c r="B70" i="83"/>
  <c r="B59" i="55"/>
  <c r="B116" i="55"/>
  <c r="B168" i="55"/>
  <c r="D227" i="55"/>
  <c r="D229" i="55"/>
  <c r="B6" i="21"/>
  <c r="G6" i="57"/>
  <c r="G7" i="57"/>
  <c r="G8" i="57"/>
  <c r="G16" i="57"/>
  <c r="G17" i="57"/>
  <c r="D6" i="62"/>
  <c r="F110" i="57"/>
  <c r="F111" i="57"/>
  <c r="F112" i="57"/>
  <c r="F113" i="57"/>
  <c r="D10" i="62"/>
  <c r="G55" i="57"/>
  <c r="G56" i="57"/>
  <c r="G57" i="57"/>
  <c r="G58" i="57"/>
  <c r="G59" i="57"/>
  <c r="G60" i="57"/>
  <c r="G61" i="57"/>
  <c r="G66" i="57"/>
  <c r="G39" i="57"/>
  <c r="G40" i="57"/>
  <c r="G41" i="57"/>
  <c r="G42" i="57"/>
  <c r="G43" i="57"/>
  <c r="G44" i="57"/>
  <c r="G45" i="57"/>
  <c r="G46" i="57"/>
  <c r="G47" i="57"/>
  <c r="G48" i="57"/>
  <c r="G49" i="57"/>
  <c r="G50" i="57"/>
  <c r="G51" i="57"/>
  <c r="G52" i="57"/>
  <c r="G26" i="57"/>
  <c r="G27" i="57"/>
  <c r="G28" i="57"/>
  <c r="G29" i="57"/>
  <c r="G30" i="57"/>
  <c r="G31" i="57"/>
  <c r="G32" i="57"/>
  <c r="G33" i="57"/>
  <c r="G34" i="57"/>
  <c r="G35" i="57"/>
  <c r="G36" i="57"/>
  <c r="G37" i="57"/>
  <c r="G68" i="57"/>
  <c r="G69" i="57"/>
  <c r="G70" i="57"/>
  <c r="G71" i="57"/>
  <c r="G72" i="57"/>
  <c r="G74" i="57"/>
  <c r="D7" i="62"/>
  <c r="F86" i="57"/>
  <c r="F87" i="57"/>
  <c r="F88" i="57"/>
  <c r="F89" i="57"/>
  <c r="F90" i="57"/>
  <c r="F91" i="57"/>
  <c r="F92" i="57"/>
  <c r="D8" i="62"/>
  <c r="F98" i="57"/>
  <c r="F99" i="57"/>
  <c r="F100" i="57"/>
  <c r="F101" i="57"/>
  <c r="F102" i="57"/>
  <c r="F103" i="57"/>
  <c r="F104" i="57"/>
  <c r="D9" i="62"/>
  <c r="E21" i="62"/>
  <c r="D4" i="23"/>
  <c r="D8" i="23"/>
  <c r="F3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D34" i="23"/>
  <c r="E34" i="23"/>
  <c r="C33" i="72"/>
  <c r="C63" i="55"/>
  <c r="K12" i="83"/>
  <c r="L12" i="83"/>
  <c r="M12" i="83"/>
  <c r="N12" i="83"/>
  <c r="P12" i="83"/>
  <c r="Q12" i="83"/>
  <c r="R12" i="83"/>
  <c r="S12" i="83"/>
  <c r="T12" i="83"/>
  <c r="V12" i="83"/>
  <c r="W12" i="83"/>
  <c r="X12" i="83"/>
  <c r="J14" i="83"/>
  <c r="K14" i="83"/>
  <c r="L14" i="83"/>
  <c r="M14" i="83"/>
  <c r="N14" i="83"/>
  <c r="B95" i="83"/>
  <c r="C72" i="83"/>
  <c r="C95" i="83"/>
  <c r="D72" i="83"/>
  <c r="D95" i="83"/>
  <c r="E72" i="83"/>
  <c r="E95" i="83"/>
  <c r="F72" i="83"/>
  <c r="F95" i="83"/>
  <c r="G72" i="83"/>
  <c r="G95" i="83"/>
  <c r="H72" i="83"/>
  <c r="H95" i="83"/>
  <c r="H34" i="84"/>
  <c r="B41" i="84"/>
  <c r="H62" i="84"/>
  <c r="H124" i="84"/>
  <c r="H141" i="84"/>
  <c r="G34" i="84"/>
  <c r="G62" i="84"/>
  <c r="G124" i="84"/>
  <c r="G141" i="84"/>
  <c r="E149" i="84"/>
  <c r="F149" i="84"/>
  <c r="G149" i="84"/>
  <c r="H149" i="84"/>
  <c r="I149" i="84"/>
  <c r="J149" i="84"/>
  <c r="J154" i="84"/>
  <c r="H125" i="84"/>
  <c r="H142" i="84"/>
  <c r="G125" i="84"/>
  <c r="G142" i="84"/>
  <c r="J155" i="84"/>
  <c r="H126" i="84"/>
  <c r="H143" i="84"/>
  <c r="G126" i="84"/>
  <c r="G143" i="84"/>
  <c r="J156" i="84"/>
  <c r="J159" i="84"/>
  <c r="J163" i="84"/>
  <c r="J164" i="84"/>
  <c r="H74" i="83"/>
  <c r="H13" i="84"/>
  <c r="B75" i="83"/>
  <c r="C75" i="83"/>
  <c r="D75" i="83"/>
  <c r="E75" i="83"/>
  <c r="F75" i="83"/>
  <c r="G75" i="83"/>
  <c r="H75" i="83"/>
  <c r="H14" i="84"/>
  <c r="B76" i="83"/>
  <c r="C76" i="83"/>
  <c r="D76" i="83"/>
  <c r="E76" i="83"/>
  <c r="F76" i="83"/>
  <c r="G76" i="83"/>
  <c r="H76" i="83"/>
  <c r="H15" i="84"/>
  <c r="B77" i="83"/>
  <c r="C77" i="83"/>
  <c r="D77" i="83"/>
  <c r="E77" i="83"/>
  <c r="F77" i="83"/>
  <c r="G77" i="83"/>
  <c r="H77" i="83"/>
  <c r="H16" i="84"/>
  <c r="B78" i="83"/>
  <c r="C78" i="83"/>
  <c r="D78" i="83"/>
  <c r="E78" i="83"/>
  <c r="F78" i="83"/>
  <c r="G78" i="83"/>
  <c r="H78" i="83"/>
  <c r="H17" i="84"/>
  <c r="B79" i="83"/>
  <c r="C79" i="83"/>
  <c r="D79" i="83"/>
  <c r="E79" i="83"/>
  <c r="F79" i="83"/>
  <c r="G79" i="83"/>
  <c r="H79" i="83"/>
  <c r="H18" i="84"/>
  <c r="B80" i="83"/>
  <c r="C80" i="83"/>
  <c r="D80" i="83"/>
  <c r="E80" i="83"/>
  <c r="F80" i="83"/>
  <c r="G80" i="83"/>
  <c r="H80" i="83"/>
  <c r="H19" i="84"/>
  <c r="B81" i="83"/>
  <c r="C81" i="83"/>
  <c r="D81" i="83"/>
  <c r="E81" i="83"/>
  <c r="F81" i="83"/>
  <c r="G81" i="83"/>
  <c r="H81" i="83"/>
  <c r="H20" i="84"/>
  <c r="B82" i="83"/>
  <c r="C82" i="83"/>
  <c r="D82" i="83"/>
  <c r="E82" i="83"/>
  <c r="F82" i="83"/>
  <c r="G82" i="83"/>
  <c r="H82" i="83"/>
  <c r="H21" i="84"/>
  <c r="B83" i="83"/>
  <c r="C83" i="83"/>
  <c r="D83" i="83"/>
  <c r="E83" i="83"/>
  <c r="F83" i="83"/>
  <c r="G83" i="83"/>
  <c r="H83" i="83"/>
  <c r="H22" i="84"/>
  <c r="B84" i="83"/>
  <c r="C84" i="83"/>
  <c r="D84" i="83"/>
  <c r="E84" i="83"/>
  <c r="F84" i="83"/>
  <c r="G84" i="83"/>
  <c r="H84" i="83"/>
  <c r="H23" i="84"/>
  <c r="B85" i="83"/>
  <c r="C85" i="83"/>
  <c r="D85" i="83"/>
  <c r="E85" i="83"/>
  <c r="F85" i="83"/>
  <c r="G85" i="83"/>
  <c r="H85" i="83"/>
  <c r="H24" i="84"/>
  <c r="B86" i="83"/>
  <c r="C86" i="83"/>
  <c r="D86" i="83"/>
  <c r="E86" i="83"/>
  <c r="F86" i="83"/>
  <c r="G86" i="83"/>
  <c r="H86" i="83"/>
  <c r="H25" i="84"/>
  <c r="B87" i="83"/>
  <c r="C87" i="83"/>
  <c r="D87" i="83"/>
  <c r="E87" i="83"/>
  <c r="F87" i="83"/>
  <c r="G87" i="83"/>
  <c r="H87" i="83"/>
  <c r="H26" i="84"/>
  <c r="B88" i="83"/>
  <c r="C88" i="83"/>
  <c r="D88" i="83"/>
  <c r="E88" i="83"/>
  <c r="F88" i="83"/>
  <c r="G88" i="83"/>
  <c r="H88" i="83"/>
  <c r="H27" i="84"/>
  <c r="B89" i="83"/>
  <c r="C89" i="83"/>
  <c r="D89" i="83"/>
  <c r="E89" i="83"/>
  <c r="F89" i="83"/>
  <c r="G89" i="83"/>
  <c r="H89" i="83"/>
  <c r="H28" i="84"/>
  <c r="B90" i="83"/>
  <c r="C90" i="83"/>
  <c r="D90" i="83"/>
  <c r="E90" i="83"/>
  <c r="F90" i="83"/>
  <c r="G90" i="83"/>
  <c r="H90" i="83"/>
  <c r="H29" i="84"/>
  <c r="B91" i="83"/>
  <c r="C91" i="83"/>
  <c r="D91" i="83"/>
  <c r="E91" i="83"/>
  <c r="F91" i="83"/>
  <c r="G91" i="83"/>
  <c r="H91" i="83"/>
  <c r="H30" i="84"/>
  <c r="H31" i="84"/>
  <c r="H32" i="84"/>
  <c r="H33" i="84"/>
  <c r="B96" i="83"/>
  <c r="C96" i="83"/>
  <c r="D96" i="83"/>
  <c r="E96" i="83"/>
  <c r="F96" i="83"/>
  <c r="G96" i="83"/>
  <c r="H96" i="83"/>
  <c r="H35" i="84"/>
  <c r="B97" i="83"/>
  <c r="C97" i="83"/>
  <c r="D97" i="83"/>
  <c r="E97" i="83"/>
  <c r="F97" i="83"/>
  <c r="G97" i="83"/>
  <c r="H97" i="83"/>
  <c r="H36" i="84"/>
  <c r="B98" i="83"/>
  <c r="C98" i="83"/>
  <c r="D98" i="83"/>
  <c r="E98" i="83"/>
  <c r="F98" i="83"/>
  <c r="G98" i="83"/>
  <c r="H98" i="83"/>
  <c r="H37" i="84"/>
  <c r="H39" i="84"/>
  <c r="H12" i="84"/>
  <c r="J165" i="84"/>
  <c r="H72" i="57"/>
  <c r="B166" i="84"/>
  <c r="J166" i="84"/>
  <c r="J167" i="84"/>
  <c r="J168" i="84"/>
  <c r="J169" i="84"/>
  <c r="J177" i="84"/>
  <c r="J180" i="84"/>
  <c r="J181" i="84"/>
  <c r="J185" i="84"/>
  <c r="J186" i="84"/>
  <c r="J188" i="84"/>
  <c r="F34" i="84"/>
  <c r="F62" i="84"/>
  <c r="F124" i="84"/>
  <c r="F141" i="84"/>
  <c r="I154" i="84"/>
  <c r="F125" i="84"/>
  <c r="F142" i="84"/>
  <c r="I155" i="84"/>
  <c r="F126" i="84"/>
  <c r="F143" i="84"/>
  <c r="I156" i="84"/>
  <c r="I159" i="84"/>
  <c r="I163" i="84"/>
  <c r="I164" i="84"/>
  <c r="G74" i="83"/>
  <c r="G13" i="84"/>
  <c r="G14" i="84"/>
  <c r="G15" i="84"/>
  <c r="G16" i="84"/>
  <c r="G17" i="84"/>
  <c r="G18" i="84"/>
  <c r="G19" i="84"/>
  <c r="G20" i="84"/>
  <c r="G21" i="84"/>
  <c r="G22" i="84"/>
  <c r="G23" i="84"/>
  <c r="G24" i="84"/>
  <c r="G25" i="84"/>
  <c r="G26" i="84"/>
  <c r="G27" i="84"/>
  <c r="G28" i="84"/>
  <c r="G29" i="84"/>
  <c r="G30" i="84"/>
  <c r="D34" i="83"/>
  <c r="F34" i="83"/>
  <c r="H34" i="83"/>
  <c r="B92" i="83"/>
  <c r="C92" i="83"/>
  <c r="D92" i="83"/>
  <c r="E92" i="83"/>
  <c r="F92" i="83"/>
  <c r="G92" i="83"/>
  <c r="G31" i="84"/>
  <c r="D35" i="83"/>
  <c r="F35" i="83"/>
  <c r="H35" i="83"/>
  <c r="B93" i="83"/>
  <c r="C93" i="83"/>
  <c r="D93" i="83"/>
  <c r="E93" i="83"/>
  <c r="F93" i="83"/>
  <c r="G93" i="83"/>
  <c r="G32" i="84"/>
  <c r="D36" i="83"/>
  <c r="F36" i="83"/>
  <c r="H36" i="83"/>
  <c r="B94" i="83"/>
  <c r="C94" i="83"/>
  <c r="D94" i="83"/>
  <c r="E94" i="83"/>
  <c r="F94" i="83"/>
  <c r="G94" i="83"/>
  <c r="G33" i="84"/>
  <c r="G35" i="84"/>
  <c r="G36" i="84"/>
  <c r="G37" i="84"/>
  <c r="G39" i="84"/>
  <c r="G12" i="84"/>
  <c r="I165" i="84"/>
  <c r="I166" i="84"/>
  <c r="I167" i="84"/>
  <c r="I168" i="84"/>
  <c r="I169" i="84"/>
  <c r="I177" i="84"/>
  <c r="I180" i="84"/>
  <c r="I181" i="84"/>
  <c r="I185" i="84"/>
  <c r="I186" i="84"/>
  <c r="I188" i="84"/>
  <c r="E34" i="84"/>
  <c r="E62" i="84"/>
  <c r="E124" i="84"/>
  <c r="E141" i="84"/>
  <c r="H154" i="84"/>
  <c r="E125" i="84"/>
  <c r="E142" i="84"/>
  <c r="H155" i="84"/>
  <c r="E126" i="84"/>
  <c r="E143" i="84"/>
  <c r="H156" i="84"/>
  <c r="H159" i="84"/>
  <c r="H163" i="84"/>
  <c r="H164" i="84"/>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5" i="84"/>
  <c r="H166" i="84"/>
  <c r="H167" i="84"/>
  <c r="H168" i="84"/>
  <c r="H169" i="84"/>
  <c r="H177" i="84"/>
  <c r="H180" i="84"/>
  <c r="H181" i="84"/>
  <c r="H185" i="84"/>
  <c r="H186" i="84"/>
  <c r="H188" i="84"/>
  <c r="D34" i="84"/>
  <c r="D62" i="84"/>
  <c r="D124" i="84"/>
  <c r="D141" i="84"/>
  <c r="G154" i="84"/>
  <c r="D125" i="84"/>
  <c r="D142" i="84"/>
  <c r="G155" i="84"/>
  <c r="D126" i="84"/>
  <c r="D143" i="84"/>
  <c r="G156" i="84"/>
  <c r="G159" i="84"/>
  <c r="G163" i="84"/>
  <c r="G164" i="84"/>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5" i="84"/>
  <c r="G166" i="84"/>
  <c r="G167" i="84"/>
  <c r="G168" i="84"/>
  <c r="G169" i="84"/>
  <c r="G177" i="84"/>
  <c r="G180" i="84"/>
  <c r="G181" i="84"/>
  <c r="G185" i="84"/>
  <c r="G186" i="84"/>
  <c r="G188" i="84"/>
  <c r="C34" i="84"/>
  <c r="C62" i="84"/>
  <c r="C124" i="84"/>
  <c r="C141" i="84"/>
  <c r="F154" i="84"/>
  <c r="C125" i="84"/>
  <c r="C142" i="84"/>
  <c r="F155" i="84"/>
  <c r="C126" i="84"/>
  <c r="C143" i="84"/>
  <c r="F156" i="84"/>
  <c r="F159" i="84"/>
  <c r="F163" i="84"/>
  <c r="F164" i="84"/>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5" i="84"/>
  <c r="F166" i="84"/>
  <c r="F167" i="84"/>
  <c r="F168" i="84"/>
  <c r="F169" i="84"/>
  <c r="F177" i="84"/>
  <c r="F180" i="84"/>
  <c r="F181" i="84"/>
  <c r="F185" i="84"/>
  <c r="F186" i="84"/>
  <c r="F188" i="84"/>
  <c r="B34" i="84"/>
  <c r="B62" i="84"/>
  <c r="B124" i="84"/>
  <c r="B141" i="84"/>
  <c r="E154" i="84"/>
  <c r="B125" i="84"/>
  <c r="B142" i="84"/>
  <c r="E155" i="84"/>
  <c r="B126" i="84"/>
  <c r="B143" i="84"/>
  <c r="E156" i="84"/>
  <c r="E159" i="84"/>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6" i="84"/>
  <c r="E167" i="84"/>
  <c r="E168" i="84"/>
  <c r="E169" i="84"/>
  <c r="E177" i="84"/>
  <c r="E180" i="84"/>
  <c r="E181" i="84"/>
  <c r="E185" i="84"/>
  <c r="E186" i="84"/>
  <c r="E188" i="84"/>
  <c r="D154" i="84"/>
  <c r="D155" i="84"/>
  <c r="D156" i="84"/>
  <c r="D159" i="84"/>
  <c r="D163" i="84"/>
  <c r="D164" i="84"/>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5" i="84"/>
  <c r="D166" i="84"/>
  <c r="D167" i="84"/>
  <c r="D168" i="84"/>
  <c r="D169" i="84"/>
  <c r="D177" i="84"/>
  <c r="D180" i="84"/>
  <c r="D181" i="84"/>
  <c r="D185" i="84"/>
  <c r="D186" i="84"/>
  <c r="D188" i="84"/>
  <c r="A156" i="84"/>
  <c r="A155" i="84"/>
  <c r="A154" i="84"/>
  <c r="A70" i="83"/>
  <c r="A98" i="83"/>
  <c r="A37" i="84"/>
  <c r="A65" i="84"/>
  <c r="A135" i="84"/>
  <c r="A69" i="83"/>
  <c r="A97" i="83"/>
  <c r="A36" i="84"/>
  <c r="A64" i="84"/>
  <c r="A131" i="84"/>
  <c r="A68" i="83"/>
  <c r="A96" i="83"/>
  <c r="A35" i="84"/>
  <c r="A63" i="84"/>
  <c r="A127" i="84"/>
  <c r="A67" i="83"/>
  <c r="A95" i="83"/>
  <c r="A34" i="84"/>
  <c r="A62" i="84"/>
  <c r="A123" i="84"/>
  <c r="A63" i="83"/>
  <c r="A91" i="83"/>
  <c r="A30" i="84"/>
  <c r="A61" i="84"/>
  <c r="A122" i="84"/>
  <c r="A62" i="83"/>
  <c r="A90" i="83"/>
  <c r="A29" i="84"/>
  <c r="A60" i="84"/>
  <c r="A121" i="84"/>
  <c r="A61" i="83"/>
  <c r="A89" i="83"/>
  <c r="A28" i="84"/>
  <c r="A59" i="84"/>
  <c r="A120" i="84"/>
  <c r="A60" i="83"/>
  <c r="A88" i="83"/>
  <c r="A27" i="84"/>
  <c r="A58" i="84"/>
  <c r="A119" i="84"/>
  <c r="A59" i="83"/>
  <c r="A87" i="83"/>
  <c r="A26" i="84"/>
  <c r="A57" i="84"/>
  <c r="A118" i="84"/>
  <c r="A58" i="83"/>
  <c r="A86" i="83"/>
  <c r="A25" i="84"/>
  <c r="A56" i="84"/>
  <c r="A114" i="84"/>
  <c r="A57" i="83"/>
  <c r="A85" i="83"/>
  <c r="A24" i="84"/>
  <c r="A55" i="84"/>
  <c r="A110" i="84"/>
  <c r="A56" i="83"/>
  <c r="A84" i="83"/>
  <c r="A23" i="84"/>
  <c r="A54" i="84"/>
  <c r="A106" i="84"/>
  <c r="A55" i="83"/>
  <c r="A83" i="83"/>
  <c r="A22" i="84"/>
  <c r="A53" i="84"/>
  <c r="A102" i="84"/>
  <c r="A54" i="83"/>
  <c r="A82" i="83"/>
  <c r="A21" i="84"/>
  <c r="A52" i="84"/>
  <c r="A98" i="84"/>
  <c r="A53" i="83"/>
  <c r="A81" i="83"/>
  <c r="A20" i="84"/>
  <c r="A51" i="84"/>
  <c r="A94" i="84"/>
  <c r="A52" i="83"/>
  <c r="A80" i="83"/>
  <c r="A19" i="84"/>
  <c r="A50" i="84"/>
  <c r="A91" i="84"/>
  <c r="A51" i="83"/>
  <c r="A79" i="83"/>
  <c r="A18" i="84"/>
  <c r="A49" i="84"/>
  <c r="A87" i="84"/>
  <c r="A50" i="83"/>
  <c r="A78" i="83"/>
  <c r="A17" i="84"/>
  <c r="A48" i="84"/>
  <c r="A83" i="84"/>
  <c r="A49" i="83"/>
  <c r="A77" i="83"/>
  <c r="A16" i="84"/>
  <c r="A47" i="84"/>
  <c r="A79" i="84"/>
  <c r="A48" i="83"/>
  <c r="A76" i="83"/>
  <c r="A15" i="84"/>
  <c r="A46" i="84"/>
  <c r="A75" i="84"/>
  <c r="A47" i="83"/>
  <c r="A75" i="83"/>
  <c r="A14" i="84"/>
  <c r="A45" i="84"/>
  <c r="A71" i="84"/>
  <c r="A46" i="83"/>
  <c r="A74" i="83"/>
  <c r="A13" i="84"/>
  <c r="A44" i="84"/>
  <c r="A67" i="84"/>
  <c r="H65" i="84"/>
  <c r="G65" i="84"/>
  <c r="F65" i="84"/>
  <c r="E65" i="84"/>
  <c r="D65" i="84"/>
  <c r="C65" i="84"/>
  <c r="B65" i="84"/>
  <c r="H64" i="84"/>
  <c r="G64" i="84"/>
  <c r="F64" i="84"/>
  <c r="E64" i="84"/>
  <c r="D64" i="84"/>
  <c r="C64" i="84"/>
  <c r="B64" i="84"/>
  <c r="H63" i="84"/>
  <c r="G63" i="84"/>
  <c r="F63" i="84"/>
  <c r="E63" i="84"/>
  <c r="D63" i="84"/>
  <c r="C63" i="84"/>
  <c r="B63" i="84"/>
  <c r="E40" i="84"/>
  <c r="F40" i="84"/>
  <c r="G40" i="84"/>
  <c r="H40" i="84"/>
  <c r="H41" i="84"/>
  <c r="H61" i="84"/>
  <c r="G41" i="84"/>
  <c r="G61" i="84"/>
  <c r="F41" i="84"/>
  <c r="F61" i="84"/>
  <c r="E41" i="84"/>
  <c r="E61" i="84"/>
  <c r="D41" i="84"/>
  <c r="D61" i="84"/>
  <c r="C4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3" i="84"/>
  <c r="G53" i="84"/>
  <c r="F53" i="84"/>
  <c r="E53" i="84"/>
  <c r="D53" i="84"/>
  <c r="C53" i="84"/>
  <c r="B53"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H48" i="84"/>
  <c r="G48" i="84"/>
  <c r="F48" i="84"/>
  <c r="E48" i="84"/>
  <c r="D48" i="84"/>
  <c r="C48" i="84"/>
  <c r="B48" i="84"/>
  <c r="H47" i="84"/>
  <c r="G47" i="84"/>
  <c r="F47" i="84"/>
  <c r="E47" i="84"/>
  <c r="D47" i="84"/>
  <c r="C47" i="84"/>
  <c r="B47" i="84"/>
  <c r="H46" i="84"/>
  <c r="G46" i="84"/>
  <c r="F46" i="84"/>
  <c r="E46" i="84"/>
  <c r="D46" i="84"/>
  <c r="C46" i="84"/>
  <c r="B46" i="84"/>
  <c r="H45" i="84"/>
  <c r="G45" i="84"/>
  <c r="F45" i="84"/>
  <c r="E45" i="84"/>
  <c r="D45" i="84"/>
  <c r="C45" i="84"/>
  <c r="B45" i="84"/>
  <c r="H44" i="84"/>
  <c r="G44" i="84"/>
  <c r="F44" i="84"/>
  <c r="E44" i="84"/>
  <c r="D44" i="84"/>
  <c r="C44" i="84"/>
  <c r="B44" i="84"/>
  <c r="H42" i="84"/>
  <c r="G42" i="84"/>
  <c r="F42" i="84"/>
  <c r="E42" i="84"/>
  <c r="D42" i="84"/>
  <c r="C42" i="84"/>
  <c r="A66" i="83"/>
  <c r="A94" i="83"/>
  <c r="A33" i="84"/>
  <c r="A65" i="83"/>
  <c r="A93" i="83"/>
  <c r="A32" i="84"/>
  <c r="A64" i="83"/>
  <c r="A92" i="83"/>
  <c r="A31" i="84"/>
  <c r="B92" i="81"/>
  <c r="C90" i="81"/>
  <c r="C92" i="81"/>
  <c r="D90" i="81"/>
  <c r="D92" i="81"/>
  <c r="E90" i="81"/>
  <c r="E92" i="81"/>
  <c r="F90" i="81"/>
  <c r="F92" i="81"/>
  <c r="G90" i="81"/>
  <c r="G92" i="81"/>
  <c r="H90" i="81"/>
  <c r="H92" i="81"/>
  <c r="I9" i="53"/>
  <c r="I62" i="53"/>
  <c r="E124" i="53"/>
  <c r="F124" i="53"/>
  <c r="G124" i="53"/>
  <c r="H124" i="53"/>
  <c r="I124" i="53"/>
  <c r="J124" i="53"/>
  <c r="J130" i="53"/>
  <c r="B93" i="81"/>
  <c r="C93" i="81"/>
  <c r="D93" i="81"/>
  <c r="E93" i="81"/>
  <c r="F93" i="81"/>
  <c r="G93" i="81"/>
  <c r="H93" i="81"/>
  <c r="I10" i="53"/>
  <c r="I63" i="53"/>
  <c r="H10" i="53"/>
  <c r="H63" i="53"/>
  <c r="J131" i="53"/>
  <c r="B94" i="81"/>
  <c r="C94" i="81"/>
  <c r="D94" i="81"/>
  <c r="E94" i="81"/>
  <c r="F94" i="81"/>
  <c r="G94" i="81"/>
  <c r="H94" i="81"/>
  <c r="I11" i="53"/>
  <c r="I64" i="53"/>
  <c r="H11" i="53"/>
  <c r="H64" i="53"/>
  <c r="J132" i="53"/>
  <c r="B95" i="81"/>
  <c r="C95" i="81"/>
  <c r="D95" i="81"/>
  <c r="E95" i="81"/>
  <c r="F95" i="81"/>
  <c r="G95" i="81"/>
  <c r="H95" i="81"/>
  <c r="I12" i="53"/>
  <c r="I65" i="53"/>
  <c r="H12" i="53"/>
  <c r="H65" i="53"/>
  <c r="J133" i="53"/>
  <c r="B96" i="81"/>
  <c r="C96" i="81"/>
  <c r="D96" i="81"/>
  <c r="E96" i="81"/>
  <c r="F96" i="81"/>
  <c r="G96" i="81"/>
  <c r="H96" i="81"/>
  <c r="I13" i="53"/>
  <c r="I66" i="53"/>
  <c r="H13" i="53"/>
  <c r="H66" i="53"/>
  <c r="J134" i="53"/>
  <c r="B97" i="81"/>
  <c r="C97" i="81"/>
  <c r="D97" i="81"/>
  <c r="E97" i="81"/>
  <c r="F97" i="81"/>
  <c r="G97" i="81"/>
  <c r="H97" i="81"/>
  <c r="I14" i="53"/>
  <c r="I67" i="53"/>
  <c r="H14" i="53"/>
  <c r="H67" i="53"/>
  <c r="J135" i="53"/>
  <c r="B98" i="81"/>
  <c r="C98" i="81"/>
  <c r="D98" i="81"/>
  <c r="E98" i="81"/>
  <c r="F98" i="81"/>
  <c r="G98" i="81"/>
  <c r="H98" i="81"/>
  <c r="I15" i="53"/>
  <c r="I68" i="53"/>
  <c r="H15" i="53"/>
  <c r="H68" i="53"/>
  <c r="J136" i="53"/>
  <c r="B99" i="81"/>
  <c r="C99" i="81"/>
  <c r="D99" i="81"/>
  <c r="E99" i="81"/>
  <c r="F99" i="81"/>
  <c r="G99" i="81"/>
  <c r="H99" i="81"/>
  <c r="I16" i="53"/>
  <c r="I69" i="53"/>
  <c r="H16" i="53"/>
  <c r="H69" i="53"/>
  <c r="J137" i="53"/>
  <c r="B101" i="81"/>
  <c r="C101" i="81"/>
  <c r="D101" i="81"/>
  <c r="E101" i="81"/>
  <c r="F101" i="81"/>
  <c r="G101" i="81"/>
  <c r="H101" i="81"/>
  <c r="I18" i="53"/>
  <c r="I71" i="53"/>
  <c r="H18" i="53"/>
  <c r="H71" i="53"/>
  <c r="J139" i="53"/>
  <c r="B102" i="81"/>
  <c r="C102" i="81"/>
  <c r="D102" i="81"/>
  <c r="E102" i="81"/>
  <c r="F102" i="81"/>
  <c r="G102" i="81"/>
  <c r="H102" i="81"/>
  <c r="I19" i="53"/>
  <c r="I72" i="53"/>
  <c r="H19" i="53"/>
  <c r="H72" i="53"/>
  <c r="J140" i="53"/>
  <c r="B103" i="81"/>
  <c r="C103" i="81"/>
  <c r="D103" i="81"/>
  <c r="E103" i="81"/>
  <c r="F103" i="81"/>
  <c r="G103" i="81"/>
  <c r="H103" i="81"/>
  <c r="I20" i="53"/>
  <c r="I73" i="53"/>
  <c r="H20" i="53"/>
  <c r="H73" i="53"/>
  <c r="J141" i="53"/>
  <c r="B104" i="81"/>
  <c r="C104" i="81"/>
  <c r="D104" i="81"/>
  <c r="E104" i="81"/>
  <c r="F104" i="81"/>
  <c r="G104" i="81"/>
  <c r="H104" i="81"/>
  <c r="I21" i="53"/>
  <c r="I74" i="53"/>
  <c r="H21" i="53"/>
  <c r="H74" i="53"/>
  <c r="J142" i="53"/>
  <c r="B105" i="81"/>
  <c r="C105" i="81"/>
  <c r="D105" i="81"/>
  <c r="E105" i="81"/>
  <c r="F105" i="81"/>
  <c r="G105" i="81"/>
  <c r="H105" i="81"/>
  <c r="I22" i="53"/>
  <c r="I75" i="53"/>
  <c r="H22" i="53"/>
  <c r="H75" i="53"/>
  <c r="J143" i="53"/>
  <c r="B106" i="81"/>
  <c r="C106" i="81"/>
  <c r="D106" i="81"/>
  <c r="E106" i="81"/>
  <c r="F106" i="81"/>
  <c r="G106" i="81"/>
  <c r="H106" i="81"/>
  <c r="I23" i="53"/>
  <c r="I76" i="53"/>
  <c r="H23" i="53"/>
  <c r="H76" i="53"/>
  <c r="J144" i="53"/>
  <c r="B107" i="81"/>
  <c r="C107" i="81"/>
  <c r="D107" i="81"/>
  <c r="E107" i="81"/>
  <c r="F107" i="81"/>
  <c r="G107" i="81"/>
  <c r="H107" i="81"/>
  <c r="I24" i="53"/>
  <c r="I77" i="53"/>
  <c r="H24" i="53"/>
  <c r="H77" i="53"/>
  <c r="J145" i="53"/>
  <c r="B108" i="81"/>
  <c r="C108" i="81"/>
  <c r="D108" i="81"/>
  <c r="E108" i="81"/>
  <c r="F108" i="81"/>
  <c r="G108" i="81"/>
  <c r="H108" i="81"/>
  <c r="I25" i="53"/>
  <c r="I78" i="53"/>
  <c r="H25" i="53"/>
  <c r="H78" i="53"/>
  <c r="J146" i="53"/>
  <c r="B110" i="81"/>
  <c r="C110" i="81"/>
  <c r="D110" i="81"/>
  <c r="E110" i="81"/>
  <c r="F110" i="81"/>
  <c r="G110" i="81"/>
  <c r="H110" i="81"/>
  <c r="I27" i="53"/>
  <c r="I80" i="53"/>
  <c r="H27" i="53"/>
  <c r="H80" i="53"/>
  <c r="J148" i="53"/>
  <c r="B111" i="81"/>
  <c r="C111" i="81"/>
  <c r="D111" i="81"/>
  <c r="E111" i="81"/>
  <c r="F111" i="81"/>
  <c r="G111" i="81"/>
  <c r="H111" i="81"/>
  <c r="I28" i="53"/>
  <c r="I81" i="53"/>
  <c r="H28" i="53"/>
  <c r="H81" i="53"/>
  <c r="J149" i="53"/>
  <c r="B112" i="81"/>
  <c r="C112" i="81"/>
  <c r="D112" i="81"/>
  <c r="E112" i="81"/>
  <c r="F112" i="81"/>
  <c r="G112" i="81"/>
  <c r="H112" i="81"/>
  <c r="I29" i="53"/>
  <c r="I82" i="53"/>
  <c r="H29" i="53"/>
  <c r="H82" i="53"/>
  <c r="J150" i="53"/>
  <c r="B102" i="83"/>
  <c r="C100" i="83"/>
  <c r="C102" i="83"/>
  <c r="D100" i="83"/>
  <c r="D102" i="83"/>
  <c r="E100" i="83"/>
  <c r="E102" i="83"/>
  <c r="F100" i="83"/>
  <c r="F102" i="83"/>
  <c r="G100" i="83"/>
  <c r="G102" i="83"/>
  <c r="H100" i="83"/>
  <c r="H102" i="83"/>
  <c r="I33" i="53"/>
  <c r="I86" i="53"/>
  <c r="B103" i="83"/>
  <c r="C103" i="83"/>
  <c r="D103" i="83"/>
  <c r="E103" i="83"/>
  <c r="F103" i="83"/>
  <c r="G103" i="83"/>
  <c r="H103" i="83"/>
  <c r="I34" i="53"/>
  <c r="I87" i="53"/>
  <c r="B104" i="83"/>
  <c r="C104" i="83"/>
  <c r="D104" i="83"/>
  <c r="E104" i="83"/>
  <c r="F104" i="83"/>
  <c r="G104" i="83"/>
  <c r="H104" i="83"/>
  <c r="I35" i="53"/>
  <c r="I88" i="53"/>
  <c r="B105" i="83"/>
  <c r="C105" i="83"/>
  <c r="D105" i="83"/>
  <c r="E105" i="83"/>
  <c r="F105" i="83"/>
  <c r="G105" i="83"/>
  <c r="H105" i="83"/>
  <c r="I36" i="53"/>
  <c r="I89" i="53"/>
  <c r="B106" i="83"/>
  <c r="C106" i="83"/>
  <c r="D106" i="83"/>
  <c r="E106" i="83"/>
  <c r="F106" i="83"/>
  <c r="G106" i="83"/>
  <c r="H106" i="83"/>
  <c r="I37" i="53"/>
  <c r="I90" i="53"/>
  <c r="B107" i="83"/>
  <c r="C107" i="83"/>
  <c r="D107" i="83"/>
  <c r="E107" i="83"/>
  <c r="F107" i="83"/>
  <c r="G107" i="83"/>
  <c r="H107" i="83"/>
  <c r="I38" i="53"/>
  <c r="I91" i="53"/>
  <c r="B108" i="83"/>
  <c r="C108" i="83"/>
  <c r="D108" i="83"/>
  <c r="E108" i="83"/>
  <c r="F108" i="83"/>
  <c r="G108" i="83"/>
  <c r="H108" i="83"/>
  <c r="I39" i="53"/>
  <c r="I92" i="53"/>
  <c r="B109" i="83"/>
  <c r="C109" i="83"/>
  <c r="D109" i="83"/>
  <c r="E109" i="83"/>
  <c r="F109" i="83"/>
  <c r="G109" i="83"/>
  <c r="H109" i="83"/>
  <c r="I40" i="53"/>
  <c r="I93" i="53"/>
  <c r="B110" i="83"/>
  <c r="C110" i="83"/>
  <c r="D110" i="83"/>
  <c r="E110" i="83"/>
  <c r="F110" i="83"/>
  <c r="G110" i="83"/>
  <c r="H110" i="83"/>
  <c r="I41" i="53"/>
  <c r="I94" i="53"/>
  <c r="B111" i="83"/>
  <c r="C111" i="83"/>
  <c r="D111" i="83"/>
  <c r="E111" i="83"/>
  <c r="F111" i="83"/>
  <c r="G111" i="83"/>
  <c r="H111" i="83"/>
  <c r="I42" i="53"/>
  <c r="I95" i="53"/>
  <c r="B112" i="83"/>
  <c r="C112" i="83"/>
  <c r="D112" i="83"/>
  <c r="E112" i="83"/>
  <c r="F112" i="83"/>
  <c r="G112" i="83"/>
  <c r="H112" i="83"/>
  <c r="I43" i="53"/>
  <c r="I96" i="53"/>
  <c r="B113" i="83"/>
  <c r="C113" i="83"/>
  <c r="D113" i="83"/>
  <c r="E113" i="83"/>
  <c r="F113" i="83"/>
  <c r="G113" i="83"/>
  <c r="H113" i="83"/>
  <c r="I44" i="53"/>
  <c r="I97" i="53"/>
  <c r="B114" i="83"/>
  <c r="C114" i="83"/>
  <c r="D114" i="83"/>
  <c r="E114" i="83"/>
  <c r="F114" i="83"/>
  <c r="G114" i="83"/>
  <c r="H114" i="83"/>
  <c r="I45" i="53"/>
  <c r="I98" i="53"/>
  <c r="B115" i="83"/>
  <c r="C115" i="83"/>
  <c r="D115" i="83"/>
  <c r="E115" i="83"/>
  <c r="F115" i="83"/>
  <c r="G115" i="83"/>
  <c r="H115" i="83"/>
  <c r="I46" i="53"/>
  <c r="I99" i="53"/>
  <c r="B116" i="83"/>
  <c r="C116" i="83"/>
  <c r="D116" i="83"/>
  <c r="E116" i="83"/>
  <c r="F116" i="83"/>
  <c r="G116" i="83"/>
  <c r="H116" i="83"/>
  <c r="I47" i="53"/>
  <c r="I100" i="53"/>
  <c r="B117" i="83"/>
  <c r="C117" i="83"/>
  <c r="D117" i="83"/>
  <c r="E117" i="83"/>
  <c r="F117" i="83"/>
  <c r="G117" i="83"/>
  <c r="H117" i="83"/>
  <c r="I48" i="53"/>
  <c r="I101" i="53"/>
  <c r="B118" i="83"/>
  <c r="C118" i="83"/>
  <c r="D118" i="83"/>
  <c r="E118" i="83"/>
  <c r="F118" i="83"/>
  <c r="G118" i="83"/>
  <c r="H118" i="83"/>
  <c r="I49" i="53"/>
  <c r="I102" i="53"/>
  <c r="B119" i="83"/>
  <c r="C119" i="83"/>
  <c r="D119" i="83"/>
  <c r="E119" i="83"/>
  <c r="F119" i="83"/>
  <c r="G119" i="83"/>
  <c r="H119" i="83"/>
  <c r="I50" i="53"/>
  <c r="I103" i="53"/>
  <c r="B120" i="83"/>
  <c r="C120" i="83"/>
  <c r="D120" i="83"/>
  <c r="E120" i="83"/>
  <c r="F120" i="83"/>
  <c r="G120" i="83"/>
  <c r="H120" i="83"/>
  <c r="I51" i="53"/>
  <c r="I104" i="53"/>
  <c r="B121" i="83"/>
  <c r="C121" i="83"/>
  <c r="D121" i="83"/>
  <c r="E121" i="83"/>
  <c r="F121" i="83"/>
  <c r="G121" i="83"/>
  <c r="H121" i="83"/>
  <c r="I52" i="53"/>
  <c r="I105" i="53"/>
  <c r="B122" i="83"/>
  <c r="C122" i="83"/>
  <c r="D122" i="83"/>
  <c r="E122" i="83"/>
  <c r="F122" i="83"/>
  <c r="G122" i="83"/>
  <c r="H122" i="83"/>
  <c r="I53" i="53"/>
  <c r="I106" i="53"/>
  <c r="B123" i="83"/>
  <c r="C123" i="83"/>
  <c r="D123" i="83"/>
  <c r="E123" i="83"/>
  <c r="F123" i="83"/>
  <c r="G123" i="83"/>
  <c r="H123" i="83"/>
  <c r="I54" i="53"/>
  <c r="I107" i="53"/>
  <c r="B124" i="83"/>
  <c r="C124" i="83"/>
  <c r="D124" i="83"/>
  <c r="E124" i="83"/>
  <c r="F124" i="83"/>
  <c r="G124" i="83"/>
  <c r="H124" i="83"/>
  <c r="I55" i="53"/>
  <c r="I108" i="53"/>
  <c r="B125" i="83"/>
  <c r="C125" i="83"/>
  <c r="D125" i="83"/>
  <c r="E125" i="83"/>
  <c r="F125" i="83"/>
  <c r="G125" i="83"/>
  <c r="H125" i="83"/>
  <c r="I56" i="53"/>
  <c r="I109" i="53"/>
  <c r="B126" i="83"/>
  <c r="C126" i="83"/>
  <c r="D126" i="83"/>
  <c r="E126" i="83"/>
  <c r="F126" i="83"/>
  <c r="G126" i="83"/>
  <c r="H126" i="83"/>
  <c r="I57" i="53"/>
  <c r="I110" i="53"/>
  <c r="B113" i="81"/>
  <c r="C113" i="81"/>
  <c r="D113" i="81"/>
  <c r="E113" i="81"/>
  <c r="F113" i="81"/>
  <c r="G113" i="81"/>
  <c r="H113" i="81"/>
  <c r="I30" i="53"/>
  <c r="I83" i="53"/>
  <c r="I31" i="53"/>
  <c r="I84" i="53"/>
  <c r="I114" i="53"/>
  <c r="H9" i="53"/>
  <c r="H62" i="53"/>
  <c r="H33" i="53"/>
  <c r="H86" i="53"/>
  <c r="H34" i="53"/>
  <c r="H87" i="53"/>
  <c r="H35" i="53"/>
  <c r="H88" i="53"/>
  <c r="H36" i="53"/>
  <c r="H89" i="53"/>
  <c r="H37" i="53"/>
  <c r="H90" i="53"/>
  <c r="H38" i="53"/>
  <c r="H91" i="53"/>
  <c r="H39" i="53"/>
  <c r="H92" i="53"/>
  <c r="H40" i="53"/>
  <c r="H93" i="53"/>
  <c r="H41" i="53"/>
  <c r="H94" i="53"/>
  <c r="H42" i="53"/>
  <c r="H95" i="53"/>
  <c r="H43" i="53"/>
  <c r="H96" i="53"/>
  <c r="H44" i="53"/>
  <c r="H97" i="53"/>
  <c r="H45" i="53"/>
  <c r="H98" i="53"/>
  <c r="H46" i="53"/>
  <c r="H99" i="53"/>
  <c r="H47" i="53"/>
  <c r="H100" i="53"/>
  <c r="H48" i="53"/>
  <c r="H101" i="53"/>
  <c r="H49" i="53"/>
  <c r="H102" i="53"/>
  <c r="H50" i="53"/>
  <c r="H103" i="53"/>
  <c r="H51" i="53"/>
  <c r="H104" i="53"/>
  <c r="H52" i="53"/>
  <c r="H105" i="53"/>
  <c r="H53" i="53"/>
  <c r="H106" i="53"/>
  <c r="H54" i="53"/>
  <c r="H107" i="53"/>
  <c r="H55" i="53"/>
  <c r="H108" i="53"/>
  <c r="H56" i="53"/>
  <c r="H109" i="53"/>
  <c r="H57" i="53"/>
  <c r="H110" i="53"/>
  <c r="H30" i="53"/>
  <c r="H83" i="53"/>
  <c r="H31" i="53"/>
  <c r="H84" i="53"/>
  <c r="H114" i="53"/>
  <c r="J182" i="53"/>
  <c r="I115" i="53"/>
  <c r="H115" i="53"/>
  <c r="J183" i="53"/>
  <c r="I116" i="53"/>
  <c r="H116" i="53"/>
  <c r="J184" i="53"/>
  <c r="I118" i="53"/>
  <c r="H118" i="53"/>
  <c r="J187" i="53"/>
  <c r="I119" i="53"/>
  <c r="H119" i="53"/>
  <c r="J188"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51" i="53"/>
  <c r="J152" i="53"/>
  <c r="J191" i="53"/>
  <c r="J197" i="53"/>
  <c r="J198" i="53"/>
  <c r="J199" i="53"/>
  <c r="J200" i="53"/>
  <c r="J201" i="53"/>
  <c r="J202" i="53"/>
  <c r="J203" i="53"/>
  <c r="J204" i="53"/>
  <c r="J206" i="53"/>
  <c r="J207" i="53"/>
  <c r="J208" i="53"/>
  <c r="J209" i="53"/>
  <c r="J210" i="53"/>
  <c r="J211" i="53"/>
  <c r="J212" i="53"/>
  <c r="J213" i="53"/>
  <c r="J215" i="53"/>
  <c r="J216" i="53"/>
  <c r="J217" i="53"/>
  <c r="J245" i="53"/>
  <c r="J246" i="53"/>
  <c r="J247" i="53"/>
  <c r="J250" i="53"/>
  <c r="J251" i="53"/>
  <c r="J253" i="53"/>
  <c r="J254" i="53"/>
  <c r="I197" i="53"/>
  <c r="I198" i="53"/>
  <c r="I199" i="53"/>
  <c r="I200" i="53"/>
  <c r="I201" i="53"/>
  <c r="I202" i="53"/>
  <c r="I203" i="53"/>
  <c r="I204" i="53"/>
  <c r="I206" i="53"/>
  <c r="I207" i="53"/>
  <c r="I208" i="53"/>
  <c r="I209" i="53"/>
  <c r="I210" i="53"/>
  <c r="I211" i="53"/>
  <c r="I212" i="53"/>
  <c r="I213" i="53"/>
  <c r="I215" i="53"/>
  <c r="I216" i="53"/>
  <c r="I217" i="53"/>
  <c r="I245" i="53"/>
  <c r="I246" i="53"/>
  <c r="I247" i="53"/>
  <c r="I250" i="53"/>
  <c r="I251" i="53"/>
  <c r="I221" i="53"/>
  <c r="I222" i="53"/>
  <c r="I223" i="53"/>
  <c r="I224" i="53"/>
  <c r="I225" i="53"/>
  <c r="I226" i="53"/>
  <c r="I227" i="53"/>
  <c r="I228" i="53"/>
  <c r="I229" i="53"/>
  <c r="I230" i="53"/>
  <c r="I231" i="53"/>
  <c r="I232" i="53"/>
  <c r="I233" i="53"/>
  <c r="I234" i="53"/>
  <c r="I235" i="53"/>
  <c r="I236" i="53"/>
  <c r="I237" i="53"/>
  <c r="I238" i="53"/>
  <c r="I239" i="53"/>
  <c r="I240" i="53"/>
  <c r="I241" i="53"/>
  <c r="I242" i="53"/>
  <c r="I205" i="53"/>
  <c r="I214" i="53"/>
  <c r="I218" i="53"/>
  <c r="I219" i="53"/>
  <c r="I243" i="53"/>
  <c r="J14" i="61"/>
  <c r="K5" i="61"/>
  <c r="J259" i="53"/>
  <c r="J221" i="53"/>
  <c r="J222" i="53"/>
  <c r="J223" i="53"/>
  <c r="J224" i="53"/>
  <c r="J225" i="53"/>
  <c r="J226" i="53"/>
  <c r="J227" i="53"/>
  <c r="J228" i="53"/>
  <c r="J229" i="53"/>
  <c r="J230" i="53"/>
  <c r="J231" i="53"/>
  <c r="J232" i="53"/>
  <c r="J233" i="53"/>
  <c r="J234" i="53"/>
  <c r="J235" i="53"/>
  <c r="J236" i="53"/>
  <c r="J237" i="53"/>
  <c r="J238" i="53"/>
  <c r="J239" i="53"/>
  <c r="J240" i="53"/>
  <c r="J241" i="53"/>
  <c r="J242" i="53"/>
  <c r="J205" i="53"/>
  <c r="J214" i="53"/>
  <c r="J218" i="53"/>
  <c r="J219" i="53"/>
  <c r="J243" i="53"/>
  <c r="K14" i="61"/>
  <c r="J260" i="53"/>
  <c r="J262" i="53"/>
  <c r="J265" i="53"/>
  <c r="J266" i="53"/>
  <c r="J267" i="53"/>
  <c r="J268" i="53"/>
  <c r="J273" i="53"/>
  <c r="J274" i="53"/>
  <c r="J276" i="53"/>
  <c r="I130" i="53"/>
  <c r="G10" i="53"/>
  <c r="G63" i="53"/>
  <c r="I131" i="53"/>
  <c r="G11" i="53"/>
  <c r="G64" i="53"/>
  <c r="I132" i="53"/>
  <c r="G12" i="53"/>
  <c r="G65" i="53"/>
  <c r="I133" i="53"/>
  <c r="G13" i="53"/>
  <c r="G66" i="53"/>
  <c r="I134" i="53"/>
  <c r="G14" i="53"/>
  <c r="G67" i="53"/>
  <c r="I135" i="53"/>
  <c r="G15" i="53"/>
  <c r="G68" i="53"/>
  <c r="I136" i="53"/>
  <c r="G16" i="53"/>
  <c r="G69" i="53"/>
  <c r="I137" i="53"/>
  <c r="G18" i="53"/>
  <c r="G71" i="53"/>
  <c r="I139" i="53"/>
  <c r="G19" i="53"/>
  <c r="G72" i="53"/>
  <c r="I140" i="53"/>
  <c r="G20" i="53"/>
  <c r="G73" i="53"/>
  <c r="I141" i="53"/>
  <c r="G21" i="53"/>
  <c r="G74" i="53"/>
  <c r="I142" i="53"/>
  <c r="G22" i="53"/>
  <c r="G75" i="53"/>
  <c r="I143" i="53"/>
  <c r="G23" i="53"/>
  <c r="G76" i="53"/>
  <c r="I144" i="53"/>
  <c r="G24" i="53"/>
  <c r="G77" i="53"/>
  <c r="I145" i="53"/>
  <c r="G25" i="53"/>
  <c r="G78" i="53"/>
  <c r="I146" i="53"/>
  <c r="G27" i="53"/>
  <c r="G80" i="53"/>
  <c r="I148" i="53"/>
  <c r="G28" i="53"/>
  <c r="G81" i="53"/>
  <c r="I149" i="53"/>
  <c r="G29" i="53"/>
  <c r="G82" i="53"/>
  <c r="I150" i="53"/>
  <c r="G9" i="53"/>
  <c r="G62"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30" i="53"/>
  <c r="G83" i="53"/>
  <c r="G31" i="53"/>
  <c r="G84" i="53"/>
  <c r="G114" i="53"/>
  <c r="I182" i="53"/>
  <c r="G115" i="53"/>
  <c r="I183" i="53"/>
  <c r="G116" i="53"/>
  <c r="I184" i="53"/>
  <c r="G118" i="53"/>
  <c r="I187" i="53"/>
  <c r="G119" i="53"/>
  <c r="I188"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51" i="53"/>
  <c r="I152" i="53"/>
  <c r="I191" i="53"/>
  <c r="I253" i="53"/>
  <c r="I254" i="53"/>
  <c r="H197" i="53"/>
  <c r="H198" i="53"/>
  <c r="H199" i="53"/>
  <c r="H200" i="53"/>
  <c r="H201" i="53"/>
  <c r="H202" i="53"/>
  <c r="H203" i="53"/>
  <c r="H204" i="53"/>
  <c r="H206" i="53"/>
  <c r="H207" i="53"/>
  <c r="H208" i="53"/>
  <c r="H209" i="53"/>
  <c r="H210" i="53"/>
  <c r="H211" i="53"/>
  <c r="H212" i="53"/>
  <c r="H213" i="53"/>
  <c r="H215" i="53"/>
  <c r="H216" i="53"/>
  <c r="H217" i="53"/>
  <c r="H245" i="53"/>
  <c r="H246" i="53"/>
  <c r="H247" i="53"/>
  <c r="H250" i="53"/>
  <c r="H251" i="53"/>
  <c r="H221" i="53"/>
  <c r="H222" i="53"/>
  <c r="H223" i="53"/>
  <c r="H224" i="53"/>
  <c r="H225" i="53"/>
  <c r="H226" i="53"/>
  <c r="H227" i="53"/>
  <c r="H228" i="53"/>
  <c r="H229" i="53"/>
  <c r="H230" i="53"/>
  <c r="H231" i="53"/>
  <c r="H232" i="53"/>
  <c r="H233" i="53"/>
  <c r="H234" i="53"/>
  <c r="H235" i="53"/>
  <c r="H236" i="53"/>
  <c r="H237" i="53"/>
  <c r="H238" i="53"/>
  <c r="H239" i="53"/>
  <c r="H240" i="53"/>
  <c r="H241" i="53"/>
  <c r="H242" i="53"/>
  <c r="H205" i="53"/>
  <c r="H214" i="53"/>
  <c r="H218" i="53"/>
  <c r="H219" i="53"/>
  <c r="H243" i="53"/>
  <c r="I14" i="61"/>
  <c r="J5" i="61"/>
  <c r="I259" i="53"/>
  <c r="I260" i="53"/>
  <c r="I262" i="53"/>
  <c r="I265" i="53"/>
  <c r="I266" i="53"/>
  <c r="I267" i="53"/>
  <c r="I268" i="53"/>
  <c r="I273" i="53"/>
  <c r="I274" i="53"/>
  <c r="I276" i="53"/>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30" i="53"/>
  <c r="F83" i="53"/>
  <c r="F31" i="53"/>
  <c r="F84" i="53"/>
  <c r="F114" i="53"/>
  <c r="H182" i="53"/>
  <c r="F115" i="53"/>
  <c r="H183" i="53"/>
  <c r="F116" i="53"/>
  <c r="H184" i="53"/>
  <c r="F118" i="53"/>
  <c r="H187" i="53"/>
  <c r="F119" i="53"/>
  <c r="H188"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51" i="53"/>
  <c r="H152" i="53"/>
  <c r="H191" i="53"/>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21" i="53"/>
  <c r="G222" i="53"/>
  <c r="G223" i="53"/>
  <c r="G224" i="53"/>
  <c r="G225" i="53"/>
  <c r="G226" i="53"/>
  <c r="G227" i="53"/>
  <c r="G228" i="53"/>
  <c r="G229" i="53"/>
  <c r="G230" i="53"/>
  <c r="G231" i="53"/>
  <c r="G232" i="53"/>
  <c r="G233" i="53"/>
  <c r="G234" i="53"/>
  <c r="G235" i="53"/>
  <c r="G236" i="53"/>
  <c r="G237" i="53"/>
  <c r="G238" i="53"/>
  <c r="G239" i="53"/>
  <c r="G240" i="53"/>
  <c r="G241" i="53"/>
  <c r="G242" i="53"/>
  <c r="G205" i="53"/>
  <c r="G214" i="53"/>
  <c r="G218" i="53"/>
  <c r="G219" i="53"/>
  <c r="G243" i="53"/>
  <c r="H14" i="61"/>
  <c r="I5" i="61"/>
  <c r="H259" i="53"/>
  <c r="H260" i="53"/>
  <c r="H262" i="53"/>
  <c r="H265" i="53"/>
  <c r="H266" i="53"/>
  <c r="H267" i="53"/>
  <c r="H268" i="53"/>
  <c r="H273" i="53"/>
  <c r="H274" i="53"/>
  <c r="H276" i="53"/>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30" i="53"/>
  <c r="E83" i="53"/>
  <c r="E31" i="53"/>
  <c r="E84" i="53"/>
  <c r="E114" i="53"/>
  <c r="G182" i="53"/>
  <c r="E115" i="53"/>
  <c r="G183" i="53"/>
  <c r="E116" i="53"/>
  <c r="G184" i="53"/>
  <c r="E118" i="53"/>
  <c r="G187" i="53"/>
  <c r="E119" i="53"/>
  <c r="G188"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51" i="53"/>
  <c r="G152" i="53"/>
  <c r="G191" i="53"/>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21" i="53"/>
  <c r="F222" i="53"/>
  <c r="F223" i="53"/>
  <c r="F224" i="53"/>
  <c r="F225" i="53"/>
  <c r="F226" i="53"/>
  <c r="F227" i="53"/>
  <c r="F228" i="53"/>
  <c r="F229" i="53"/>
  <c r="F230" i="53"/>
  <c r="F231" i="53"/>
  <c r="F232" i="53"/>
  <c r="F233" i="53"/>
  <c r="F234" i="53"/>
  <c r="F235" i="53"/>
  <c r="F236" i="53"/>
  <c r="F237" i="53"/>
  <c r="F238" i="53"/>
  <c r="F239" i="53"/>
  <c r="F240" i="53"/>
  <c r="F241" i="53"/>
  <c r="F242" i="53"/>
  <c r="F205" i="53"/>
  <c r="F214" i="53"/>
  <c r="F218" i="53"/>
  <c r="F219" i="53"/>
  <c r="F243" i="53"/>
  <c r="G14" i="61"/>
  <c r="H5" i="61"/>
  <c r="G259" i="53"/>
  <c r="G260" i="53"/>
  <c r="G262" i="53"/>
  <c r="G265" i="53"/>
  <c r="G266" i="53"/>
  <c r="G267" i="53"/>
  <c r="G268" i="53"/>
  <c r="G273" i="53"/>
  <c r="G274" i="53"/>
  <c r="G276" i="53"/>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30" i="53"/>
  <c r="D83" i="53"/>
  <c r="D31" i="53"/>
  <c r="D84" i="53"/>
  <c r="D114" i="53"/>
  <c r="F182" i="53"/>
  <c r="D115" i="53"/>
  <c r="F183" i="53"/>
  <c r="D116" i="53"/>
  <c r="F184" i="53"/>
  <c r="D118" i="53"/>
  <c r="F187" i="53"/>
  <c r="D119" i="53"/>
  <c r="F188"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51" i="53"/>
  <c r="F152" i="53"/>
  <c r="F191" i="53"/>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21" i="53"/>
  <c r="E222" i="53"/>
  <c r="E223" i="53"/>
  <c r="E224" i="53"/>
  <c r="E225" i="53"/>
  <c r="E226" i="53"/>
  <c r="E227" i="53"/>
  <c r="E228" i="53"/>
  <c r="E229" i="53"/>
  <c r="E230" i="53"/>
  <c r="E231" i="53"/>
  <c r="E232" i="53"/>
  <c r="E233" i="53"/>
  <c r="E234" i="53"/>
  <c r="E235" i="53"/>
  <c r="E236" i="53"/>
  <c r="E237" i="53"/>
  <c r="E238" i="53"/>
  <c r="E239" i="53"/>
  <c r="E240" i="53"/>
  <c r="E241" i="53"/>
  <c r="E242" i="53"/>
  <c r="E205" i="53"/>
  <c r="E214" i="53"/>
  <c r="E218" i="53"/>
  <c r="E219" i="53"/>
  <c r="E243" i="53"/>
  <c r="F14" i="61"/>
  <c r="G5" i="61"/>
  <c r="F259" i="53"/>
  <c r="F260" i="53"/>
  <c r="F262" i="53"/>
  <c r="F265" i="53"/>
  <c r="F266" i="53"/>
  <c r="F267" i="53"/>
  <c r="F268" i="53"/>
  <c r="F273" i="53"/>
  <c r="F274" i="53"/>
  <c r="F276" i="53"/>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30" i="53"/>
  <c r="C83" i="53"/>
  <c r="C31" i="53"/>
  <c r="C84" i="53"/>
  <c r="C114" i="53"/>
  <c r="E182" i="53"/>
  <c r="C115" i="53"/>
  <c r="E183" i="53"/>
  <c r="C116" i="53"/>
  <c r="E184" i="53"/>
  <c r="C118" i="53"/>
  <c r="E187" i="53"/>
  <c r="C119" i="53"/>
  <c r="E188"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51" i="53"/>
  <c r="E152" i="53"/>
  <c r="E191" i="53"/>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D221" i="53"/>
  <c r="D222" i="53"/>
  <c r="D223" i="53"/>
  <c r="D224" i="53"/>
  <c r="D225" i="53"/>
  <c r="D226" i="53"/>
  <c r="D227" i="53"/>
  <c r="D228" i="53"/>
  <c r="D229" i="53"/>
  <c r="D230" i="53"/>
  <c r="D231" i="53"/>
  <c r="D232" i="53"/>
  <c r="D233" i="53"/>
  <c r="D234" i="53"/>
  <c r="D235" i="53"/>
  <c r="D236" i="53"/>
  <c r="D237" i="53"/>
  <c r="D238" i="53"/>
  <c r="D239" i="53"/>
  <c r="D240" i="53"/>
  <c r="D241" i="53"/>
  <c r="D242" i="53"/>
  <c r="D205" i="53"/>
  <c r="D214" i="53"/>
  <c r="D218" i="53"/>
  <c r="D219" i="53"/>
  <c r="D243" i="53"/>
  <c r="E14" i="61"/>
  <c r="F5" i="61"/>
  <c r="E259" i="53"/>
  <c r="E260" i="53"/>
  <c r="E262" i="53"/>
  <c r="E265" i="53"/>
  <c r="E266" i="53"/>
  <c r="E267" i="53"/>
  <c r="E268" i="53"/>
  <c r="E273" i="53"/>
  <c r="E274" i="53"/>
  <c r="E276" i="53"/>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51" i="53"/>
  <c r="D152" i="53"/>
  <c r="D191" i="53"/>
  <c r="D253" i="53"/>
  <c r="D254" i="53"/>
  <c r="D260" i="53"/>
  <c r="D262" i="53"/>
  <c r="D265" i="53"/>
  <c r="D266" i="53"/>
  <c r="D267" i="53"/>
  <c r="D268" i="53"/>
  <c r="D273" i="53"/>
  <c r="D274" i="53"/>
  <c r="D276" i="53"/>
  <c r="A251" i="53"/>
  <c r="A250" i="53"/>
  <c r="A249" i="53"/>
  <c r="A247" i="53"/>
  <c r="A246" i="53"/>
  <c r="A245" i="53"/>
  <c r="A244" i="53"/>
  <c r="A179" i="53"/>
  <c r="A243" i="53"/>
  <c r="A126" i="83"/>
  <c r="A57" i="53"/>
  <c r="A178" i="53"/>
  <c r="A242" i="53"/>
  <c r="A125" i="83"/>
  <c r="A56" i="53"/>
  <c r="A177" i="53"/>
  <c r="A241" i="53"/>
  <c r="A124" i="83"/>
  <c r="A55" i="53"/>
  <c r="A176" i="53"/>
  <c r="A240" i="53"/>
  <c r="A123" i="83"/>
  <c r="A54" i="53"/>
  <c r="A175" i="53"/>
  <c r="A239" i="53"/>
  <c r="A119" i="83"/>
  <c r="A50" i="53"/>
  <c r="A171" i="53"/>
  <c r="A238" i="53"/>
  <c r="A118" i="83"/>
  <c r="A49" i="53"/>
  <c r="A170" i="53"/>
  <c r="A237" i="53"/>
  <c r="A117" i="83"/>
  <c r="A48" i="53"/>
  <c r="A169" i="53"/>
  <c r="A236" i="53"/>
  <c r="A116" i="83"/>
  <c r="A47" i="53"/>
  <c r="A168" i="53"/>
  <c r="A235" i="53"/>
  <c r="A115" i="83"/>
  <c r="A46" i="53"/>
  <c r="A167" i="53"/>
  <c r="A234" i="53"/>
  <c r="A114" i="83"/>
  <c r="A45" i="53"/>
  <c r="A166" i="53"/>
  <c r="A233" i="53"/>
  <c r="A113" i="83"/>
  <c r="A44" i="53"/>
  <c r="A165" i="53"/>
  <c r="A232" i="53"/>
  <c r="A112" i="83"/>
  <c r="A43" i="53"/>
  <c r="A164" i="53"/>
  <c r="A231" i="53"/>
  <c r="A111" i="83"/>
  <c r="A42" i="53"/>
  <c r="A163" i="53"/>
  <c r="A230" i="53"/>
  <c r="A110" i="83"/>
  <c r="A41" i="53"/>
  <c r="A162" i="53"/>
  <c r="A229" i="53"/>
  <c r="A109" i="83"/>
  <c r="A40" i="53"/>
  <c r="A161" i="53"/>
  <c r="A228" i="53"/>
  <c r="A108" i="83"/>
  <c r="A39" i="53"/>
  <c r="A160" i="53"/>
  <c r="A227" i="53"/>
  <c r="A107" i="83"/>
  <c r="A38" i="53"/>
  <c r="A159" i="53"/>
  <c r="A226" i="53"/>
  <c r="A106" i="83"/>
  <c r="A37" i="53"/>
  <c r="A158" i="53"/>
  <c r="A225" i="53"/>
  <c r="A105" i="83"/>
  <c r="A36" i="53"/>
  <c r="A157" i="53"/>
  <c r="A224" i="53"/>
  <c r="A104" i="83"/>
  <c r="A35" i="53"/>
  <c r="A156" i="53"/>
  <c r="A223" i="53"/>
  <c r="A103" i="83"/>
  <c r="A34" i="53"/>
  <c r="A155" i="53"/>
  <c r="A222" i="53"/>
  <c r="A102" i="83"/>
  <c r="A33" i="53"/>
  <c r="A154" i="53"/>
  <c r="A221" i="53"/>
  <c r="A32" i="53"/>
  <c r="A153" i="53"/>
  <c r="A220" i="53"/>
  <c r="A31" i="53"/>
  <c r="A152" i="53"/>
  <c r="A219" i="53"/>
  <c r="A62" i="81"/>
  <c r="A87" i="81"/>
  <c r="A112" i="81"/>
  <c r="A30" i="53"/>
  <c r="A151" i="53"/>
  <c r="A218" i="53"/>
  <c r="A61" i="81"/>
  <c r="A86" i="81"/>
  <c r="A111" i="81"/>
  <c r="A29" i="53"/>
  <c r="A150" i="53"/>
  <c r="A217" i="53"/>
  <c r="A60" i="81"/>
  <c r="A85" i="81"/>
  <c r="A110" i="81"/>
  <c r="A28" i="53"/>
  <c r="A149" i="53"/>
  <c r="A216" i="53"/>
  <c r="A59" i="81"/>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44" i="81"/>
  <c r="A69" i="81"/>
  <c r="A94" i="81"/>
  <c r="A11" i="53"/>
  <c r="A132" i="53"/>
  <c r="A199" i="53"/>
  <c r="A43" i="81"/>
  <c r="A68" i="81"/>
  <c r="A93" i="81"/>
  <c r="A10" i="53"/>
  <c r="A131" i="53"/>
  <c r="A198" i="53"/>
  <c r="A42" i="81"/>
  <c r="A67" i="81"/>
  <c r="A92" i="81"/>
  <c r="A9" i="53"/>
  <c r="A130" i="53"/>
  <c r="A197" i="53"/>
  <c r="A195" i="53"/>
  <c r="A122" i="83"/>
  <c r="A53" i="53"/>
  <c r="A174" i="53"/>
  <c r="A121" i="83"/>
  <c r="A52" i="53"/>
  <c r="A173" i="53"/>
  <c r="A120" i="83"/>
  <c r="A51" i="53"/>
  <c r="A172" i="53"/>
  <c r="A129" i="53"/>
  <c r="A110" i="53"/>
  <c r="A109" i="53"/>
  <c r="A108" i="53"/>
  <c r="A107" i="53"/>
  <c r="A106" i="53"/>
  <c r="A105" i="53"/>
  <c r="A104" i="53"/>
  <c r="A103" i="53"/>
  <c r="A102" i="53"/>
  <c r="A101" i="53"/>
  <c r="A100" i="53"/>
  <c r="A99" i="53"/>
  <c r="A98" i="53"/>
  <c r="A97" i="53"/>
  <c r="A96" i="53"/>
  <c r="A95" i="53"/>
  <c r="A94" i="53"/>
  <c r="A93" i="53"/>
  <c r="A92" i="53"/>
  <c r="A91" i="53"/>
  <c r="A90" i="53"/>
  <c r="A89" i="53"/>
  <c r="A88" i="53"/>
  <c r="A87" i="53"/>
  <c r="A86" i="53"/>
  <c r="A85" i="53"/>
  <c r="A84" i="53"/>
  <c r="A83" i="53"/>
  <c r="A82" i="53"/>
  <c r="A81" i="53"/>
  <c r="A80" i="53"/>
  <c r="A79" i="53"/>
  <c r="A78" i="53"/>
  <c r="A77" i="53"/>
  <c r="A76" i="53"/>
  <c r="A75" i="53"/>
  <c r="A74" i="53"/>
  <c r="A73" i="53"/>
  <c r="A72" i="53"/>
  <c r="A71" i="53"/>
  <c r="A70" i="53"/>
  <c r="A69" i="53"/>
  <c r="A68" i="53"/>
  <c r="A67" i="53"/>
  <c r="A66" i="53"/>
  <c r="A65" i="53"/>
  <c r="A64" i="53"/>
  <c r="A63" i="53"/>
  <c r="A62" i="53"/>
  <c r="A61" i="53"/>
  <c r="F8" i="48"/>
  <c r="H8" i="48"/>
  <c r="C28" i="48"/>
  <c r="D28" i="48"/>
  <c r="F23" i="48"/>
  <c r="G23" i="48"/>
  <c r="H23" i="48"/>
  <c r="I23" i="48"/>
  <c r="J23" i="48"/>
  <c r="K23" i="48"/>
  <c r="K28" i="48"/>
  <c r="F9" i="48"/>
  <c r="H9" i="48"/>
  <c r="C29" i="48"/>
  <c r="D29" i="48"/>
  <c r="K29" i="48"/>
  <c r="F10" i="48"/>
  <c r="H10" i="48"/>
  <c r="C30" i="48"/>
  <c r="D30" i="48"/>
  <c r="K30" i="48"/>
  <c r="F11" i="48"/>
  <c r="H11" i="48"/>
  <c r="C31" i="48"/>
  <c r="D31" i="48"/>
  <c r="K31" i="48"/>
  <c r="F12" i="48"/>
  <c r="H12" i="48"/>
  <c r="C32" i="48"/>
  <c r="D32" i="48"/>
  <c r="K32" i="48"/>
  <c r="C33" i="48"/>
  <c r="D33" i="48"/>
  <c r="K33" i="48"/>
  <c r="C34" i="48"/>
  <c r="D34" i="48"/>
  <c r="K34" i="48"/>
  <c r="C35" i="48"/>
  <c r="D35" i="48"/>
  <c r="K35" i="48"/>
  <c r="C36" i="48"/>
  <c r="D36" i="48"/>
  <c r="K36" i="48"/>
  <c r="C37" i="48"/>
  <c r="D37" i="48"/>
  <c r="K37" i="48"/>
  <c r="C38" i="48"/>
  <c r="D38" i="48"/>
  <c r="K38" i="48"/>
  <c r="K39" i="48"/>
  <c r="J8" i="48"/>
  <c r="J9" i="48"/>
  <c r="J10" i="48"/>
  <c r="J11" i="48"/>
  <c r="J12" i="48"/>
  <c r="J13" i="48"/>
  <c r="J14" i="48"/>
  <c r="J15" i="48"/>
  <c r="J16" i="48"/>
  <c r="J17" i="48"/>
  <c r="C43" i="48"/>
  <c r="K43" i="48"/>
  <c r="M8" i="48"/>
  <c r="M9" i="48"/>
  <c r="M10" i="48"/>
  <c r="M11" i="48"/>
  <c r="M12" i="48"/>
  <c r="M13" i="48"/>
  <c r="M14" i="48"/>
  <c r="M15" i="48"/>
  <c r="M16" i="48"/>
  <c r="M17" i="48"/>
  <c r="C44" i="48"/>
  <c r="K44" i="48"/>
  <c r="K49" i="48"/>
  <c r="K52" i="48"/>
  <c r="K56" i="48"/>
  <c r="K57" i="48"/>
  <c r="K59" i="48"/>
  <c r="J28" i="48"/>
  <c r="J29" i="48"/>
  <c r="J30" i="48"/>
  <c r="J31" i="48"/>
  <c r="J32" i="48"/>
  <c r="J33" i="48"/>
  <c r="J34" i="48"/>
  <c r="J35" i="48"/>
  <c r="J36" i="48"/>
  <c r="J37" i="48"/>
  <c r="J38" i="48"/>
  <c r="J39" i="48"/>
  <c r="J43" i="48"/>
  <c r="J44" i="48"/>
  <c r="J49" i="48"/>
  <c r="J52" i="48"/>
  <c r="J56" i="48"/>
  <c r="J57" i="48"/>
  <c r="J59" i="48"/>
  <c r="I28" i="48"/>
  <c r="I29" i="48"/>
  <c r="I30" i="48"/>
  <c r="I31" i="48"/>
  <c r="I32" i="48"/>
  <c r="I33" i="48"/>
  <c r="I34" i="48"/>
  <c r="I35" i="48"/>
  <c r="I36" i="48"/>
  <c r="I37" i="48"/>
  <c r="I38" i="48"/>
  <c r="I39" i="48"/>
  <c r="I43" i="48"/>
  <c r="I44" i="48"/>
  <c r="I49" i="48"/>
  <c r="I52" i="48"/>
  <c r="I56" i="48"/>
  <c r="I57" i="48"/>
  <c r="I59" i="48"/>
  <c r="H28" i="48"/>
  <c r="H29" i="48"/>
  <c r="H30" i="48"/>
  <c r="H31" i="48"/>
  <c r="H32" i="48"/>
  <c r="H33" i="48"/>
  <c r="H34" i="48"/>
  <c r="H35" i="48"/>
  <c r="H36" i="48"/>
  <c r="H37" i="48"/>
  <c r="H38" i="48"/>
  <c r="H39" i="48"/>
  <c r="H43" i="48"/>
  <c r="H44" i="48"/>
  <c r="H49" i="48"/>
  <c r="H52" i="48"/>
  <c r="H56" i="48"/>
  <c r="H57" i="48"/>
  <c r="H59" i="48"/>
  <c r="G28" i="48"/>
  <c r="G29" i="48"/>
  <c r="G30" i="48"/>
  <c r="G31" i="48"/>
  <c r="G32" i="48"/>
  <c r="G33" i="48"/>
  <c r="G34" i="48"/>
  <c r="G35" i="48"/>
  <c r="G36" i="48"/>
  <c r="G37" i="48"/>
  <c r="G38" i="48"/>
  <c r="G39" i="48"/>
  <c r="G43" i="48"/>
  <c r="G44" i="48"/>
  <c r="G49" i="48"/>
  <c r="G52" i="48"/>
  <c r="G56" i="48"/>
  <c r="G57" i="48"/>
  <c r="G59" i="48"/>
  <c r="F28" i="48"/>
  <c r="F29" i="48"/>
  <c r="F30" i="48"/>
  <c r="F31" i="48"/>
  <c r="F32" i="48"/>
  <c r="F33" i="48"/>
  <c r="F34" i="48"/>
  <c r="F35" i="48"/>
  <c r="F36" i="48"/>
  <c r="F37" i="48"/>
  <c r="F38" i="48"/>
  <c r="F39" i="48"/>
  <c r="F43" i="48"/>
  <c r="F44" i="48"/>
  <c r="F49" i="48"/>
  <c r="F52" i="48"/>
  <c r="F56" i="48"/>
  <c r="F57" i="48"/>
  <c r="F59" i="48"/>
  <c r="E28" i="48"/>
  <c r="E29" i="48"/>
  <c r="E30" i="48"/>
  <c r="E31" i="48"/>
  <c r="E32" i="48"/>
  <c r="E33" i="48"/>
  <c r="E34" i="48"/>
  <c r="E35" i="48"/>
  <c r="E36" i="48"/>
  <c r="E37" i="48"/>
  <c r="E38" i="48"/>
  <c r="E39" i="48"/>
  <c r="E43" i="48"/>
  <c r="E44" i="48"/>
  <c r="E49" i="48"/>
  <c r="E52" i="48"/>
  <c r="E56" i="48"/>
  <c r="E57" i="48"/>
  <c r="E59" i="48"/>
  <c r="A32" i="48"/>
  <c r="A31" i="48"/>
  <c r="A30" i="48"/>
  <c r="A29" i="48"/>
  <c r="A28" i="48"/>
  <c r="F17" i="48"/>
  <c r="F16" i="48"/>
  <c r="F15" i="48"/>
  <c r="F14" i="48"/>
  <c r="F13" i="48"/>
  <c r="C9" i="42"/>
  <c r="D9" i="42"/>
  <c r="E9" i="42"/>
  <c r="F9" i="42"/>
  <c r="G9" i="42"/>
  <c r="H9" i="42"/>
  <c r="H10" i="42"/>
  <c r="E17" i="42"/>
  <c r="F17" i="42"/>
  <c r="G17" i="42"/>
  <c r="H17" i="42"/>
  <c r="I17" i="42"/>
  <c r="J17" i="42"/>
  <c r="J21" i="42"/>
  <c r="J23" i="42"/>
  <c r="J27" i="42"/>
  <c r="J28" i="42"/>
  <c r="J29" i="42"/>
  <c r="J34" i="42"/>
  <c r="J37" i="42"/>
  <c r="J43" i="42"/>
  <c r="J45" i="42"/>
  <c r="J47" i="42"/>
  <c r="G10" i="42"/>
  <c r="I21" i="42"/>
  <c r="I23" i="42"/>
  <c r="I27" i="42"/>
  <c r="I28" i="42"/>
  <c r="I29" i="42"/>
  <c r="I34" i="42"/>
  <c r="I37" i="42"/>
  <c r="I43" i="42"/>
  <c r="I45" i="42"/>
  <c r="I47" i="42"/>
  <c r="F10" i="42"/>
  <c r="H21" i="42"/>
  <c r="H23" i="42"/>
  <c r="H27" i="42"/>
  <c r="H28" i="42"/>
  <c r="H29" i="42"/>
  <c r="H34" i="42"/>
  <c r="H37" i="42"/>
  <c r="H43" i="42"/>
  <c r="H45" i="42"/>
  <c r="H47" i="42"/>
  <c r="E10" i="42"/>
  <c r="G21" i="42"/>
  <c r="G23" i="42"/>
  <c r="G27" i="42"/>
  <c r="G28" i="42"/>
  <c r="G29" i="42"/>
  <c r="G34" i="42"/>
  <c r="G37" i="42"/>
  <c r="G43" i="42"/>
  <c r="G45" i="42"/>
  <c r="G47" i="42"/>
  <c r="D10" i="42"/>
  <c r="F21" i="42"/>
  <c r="F23" i="42"/>
  <c r="F27" i="42"/>
  <c r="F28" i="42"/>
  <c r="F29" i="42"/>
  <c r="F34" i="42"/>
  <c r="F37" i="42"/>
  <c r="F43" i="42"/>
  <c r="F45" i="42"/>
  <c r="F47" i="42"/>
  <c r="C10" i="42"/>
  <c r="E21" i="42"/>
  <c r="E23" i="42"/>
  <c r="E27" i="42"/>
  <c r="E28" i="42"/>
  <c r="E29" i="42"/>
  <c r="E34" i="42"/>
  <c r="E37" i="42"/>
  <c r="E43" i="42"/>
  <c r="E45" i="42"/>
  <c r="E47" i="42"/>
  <c r="B10" i="42"/>
  <c r="D21" i="42"/>
  <c r="D23" i="42"/>
  <c r="D27" i="42"/>
  <c r="D28" i="42"/>
  <c r="D29" i="42"/>
  <c r="D34" i="42"/>
  <c r="D37" i="42"/>
  <c r="D43" i="42"/>
  <c r="D45" i="42"/>
  <c r="D47" i="42"/>
  <c r="B77" i="81"/>
  <c r="C65" i="81"/>
  <c r="C77" i="81"/>
  <c r="D65" i="81"/>
  <c r="D77" i="81"/>
  <c r="E65" i="81"/>
  <c r="E77" i="81"/>
  <c r="F65" i="81"/>
  <c r="F77" i="81"/>
  <c r="G65" i="81"/>
  <c r="G77" i="81"/>
  <c r="H65" i="81"/>
  <c r="H77" i="81"/>
  <c r="H23" i="72"/>
  <c r="D33" i="72"/>
  <c r="E33" i="72"/>
  <c r="F33" i="72"/>
  <c r="G33" i="72"/>
  <c r="H33" i="72"/>
  <c r="H34" i="72"/>
  <c r="H47" i="72"/>
  <c r="H95" i="72"/>
  <c r="G23" i="72"/>
  <c r="G34" i="72"/>
  <c r="G47" i="72"/>
  <c r="G95" i="72"/>
  <c r="E133" i="72"/>
  <c r="F133" i="72"/>
  <c r="G133" i="72"/>
  <c r="H133" i="72"/>
  <c r="I133" i="72"/>
  <c r="J133" i="72"/>
  <c r="J139" i="72"/>
  <c r="B68" i="81"/>
  <c r="C68" i="81"/>
  <c r="D68" i="81"/>
  <c r="E68" i="81"/>
  <c r="F68" i="81"/>
  <c r="G68" i="81"/>
  <c r="H68" i="81"/>
  <c r="H14" i="72"/>
  <c r="H38" i="72"/>
  <c r="H63" i="72"/>
  <c r="G14" i="72"/>
  <c r="G38" i="72"/>
  <c r="G63" i="72"/>
  <c r="J140" i="72"/>
  <c r="B72" i="81"/>
  <c r="C72" i="81"/>
  <c r="D72" i="81"/>
  <c r="E72" i="81"/>
  <c r="F72" i="81"/>
  <c r="G72" i="81"/>
  <c r="H72" i="81"/>
  <c r="H18" i="72"/>
  <c r="H42" i="72"/>
  <c r="H78" i="72"/>
  <c r="G18" i="72"/>
  <c r="G42" i="72"/>
  <c r="G78" i="72"/>
  <c r="J141" i="72"/>
  <c r="B70" i="81"/>
  <c r="C70" i="81"/>
  <c r="D70" i="81"/>
  <c r="E70" i="81"/>
  <c r="F70" i="81"/>
  <c r="G70" i="81"/>
  <c r="H70" i="81"/>
  <c r="H16" i="72"/>
  <c r="H40" i="72"/>
  <c r="H70" i="72"/>
  <c r="G16" i="72"/>
  <c r="G40" i="72"/>
  <c r="G70" i="72"/>
  <c r="J142" i="72"/>
  <c r="J147" i="72"/>
  <c r="B67" i="81"/>
  <c r="C67" i="81"/>
  <c r="D67" i="81"/>
  <c r="E67" i="81"/>
  <c r="F67" i="81"/>
  <c r="G67" i="81"/>
  <c r="H67" i="81"/>
  <c r="H13" i="72"/>
  <c r="B69" i="81"/>
  <c r="C69" i="81"/>
  <c r="D69" i="81"/>
  <c r="E69" i="81"/>
  <c r="F69" i="81"/>
  <c r="G69" i="81"/>
  <c r="H69" i="81"/>
  <c r="H15" i="72"/>
  <c r="B71" i="81"/>
  <c r="C71" i="81"/>
  <c r="D71" i="81"/>
  <c r="E71" i="81"/>
  <c r="F71" i="81"/>
  <c r="G71" i="81"/>
  <c r="H71" i="81"/>
  <c r="H17" i="72"/>
  <c r="B73" i="81"/>
  <c r="C73" i="81"/>
  <c r="D73" i="81"/>
  <c r="E73" i="81"/>
  <c r="F73" i="81"/>
  <c r="G73" i="81"/>
  <c r="H73" i="81"/>
  <c r="H19" i="72"/>
  <c r="B74" i="81"/>
  <c r="C74" i="81"/>
  <c r="D74" i="81"/>
  <c r="E74" i="81"/>
  <c r="F74" i="81"/>
  <c r="G74" i="81"/>
  <c r="H74" i="81"/>
  <c r="H20" i="72"/>
  <c r="B75" i="81"/>
  <c r="C75" i="81"/>
  <c r="D75" i="81"/>
  <c r="E75" i="81"/>
  <c r="F75" i="81"/>
  <c r="G75" i="81"/>
  <c r="H75" i="81"/>
  <c r="H21" i="72"/>
  <c r="B76" i="81"/>
  <c r="C76" i="81"/>
  <c r="D76" i="81"/>
  <c r="E76" i="81"/>
  <c r="F76" i="81"/>
  <c r="G76" i="81"/>
  <c r="H76" i="81"/>
  <c r="H22" i="72"/>
  <c r="B78" i="81"/>
  <c r="C78" i="81"/>
  <c r="D78" i="81"/>
  <c r="E78" i="81"/>
  <c r="F78" i="81"/>
  <c r="G78" i="81"/>
  <c r="H78" i="81"/>
  <c r="H24" i="72"/>
  <c r="B79" i="81"/>
  <c r="C79" i="81"/>
  <c r="D79" i="81"/>
  <c r="E79" i="81"/>
  <c r="F79" i="81"/>
  <c r="G79" i="81"/>
  <c r="H79" i="81"/>
  <c r="H25" i="72"/>
  <c r="B80" i="81"/>
  <c r="C80" i="81"/>
  <c r="D80" i="81"/>
  <c r="E80" i="81"/>
  <c r="F80" i="81"/>
  <c r="G80" i="81"/>
  <c r="H80" i="81"/>
  <c r="H26" i="72"/>
  <c r="B81" i="81"/>
  <c r="C81" i="81"/>
  <c r="D81" i="81"/>
  <c r="E81" i="81"/>
  <c r="F81" i="81"/>
  <c r="G81" i="81"/>
  <c r="H81" i="81"/>
  <c r="H27" i="72"/>
  <c r="B82" i="81"/>
  <c r="C82" i="81"/>
  <c r="D82" i="81"/>
  <c r="E82" i="81"/>
  <c r="F82" i="81"/>
  <c r="G82" i="81"/>
  <c r="H82" i="81"/>
  <c r="H28" i="72"/>
  <c r="B83" i="81"/>
  <c r="C83" i="81"/>
  <c r="D83" i="81"/>
  <c r="E83" i="81"/>
  <c r="F83" i="81"/>
  <c r="G83" i="81"/>
  <c r="H83" i="81"/>
  <c r="H29" i="72"/>
  <c r="B84" i="81"/>
  <c r="C84" i="81"/>
  <c r="D84" i="81"/>
  <c r="E84" i="81"/>
  <c r="F84" i="81"/>
  <c r="G84" i="81"/>
  <c r="H84" i="81"/>
  <c r="H30" i="72"/>
  <c r="B85" i="81"/>
  <c r="C85" i="81"/>
  <c r="D85" i="81"/>
  <c r="E85" i="81"/>
  <c r="F85" i="81"/>
  <c r="G85" i="81"/>
  <c r="H85" i="81"/>
  <c r="H31" i="72"/>
  <c r="H32" i="72"/>
  <c r="H35" i="72"/>
  <c r="J149" i="72"/>
  <c r="J151" i="72"/>
  <c r="J155" i="72"/>
  <c r="J156" i="72"/>
  <c r="J157" i="72"/>
  <c r="J158" i="72"/>
  <c r="J159" i="72"/>
  <c r="H12" i="72"/>
  <c r="J160" i="72"/>
  <c r="H52" i="57"/>
  <c r="B161" i="72"/>
  <c r="J161" i="72"/>
  <c r="J162" i="72"/>
  <c r="J163" i="72"/>
  <c r="J164" i="72"/>
  <c r="I155" i="72"/>
  <c r="I156" i="72"/>
  <c r="I157" i="72"/>
  <c r="I158" i="72"/>
  <c r="G13" i="72"/>
  <c r="G15" i="72"/>
  <c r="G17" i="72"/>
  <c r="G19" i="72"/>
  <c r="G20" i="72"/>
  <c r="G21" i="72"/>
  <c r="G22" i="72"/>
  <c r="G24" i="72"/>
  <c r="G25" i="72"/>
  <c r="G26" i="72"/>
  <c r="G27" i="72"/>
  <c r="G28" i="72"/>
  <c r="G29" i="72"/>
  <c r="G30" i="72"/>
  <c r="G31" i="72"/>
  <c r="G32" i="72"/>
  <c r="I159" i="72"/>
  <c r="G12" i="72"/>
  <c r="I160" i="72"/>
  <c r="I161" i="72"/>
  <c r="G35" i="72"/>
  <c r="I162" i="72"/>
  <c r="I163" i="72"/>
  <c r="J16" i="61"/>
  <c r="K7" i="61"/>
  <c r="J169" i="72"/>
  <c r="K16" i="61"/>
  <c r="J170" i="72"/>
  <c r="J172" i="72"/>
  <c r="J175" i="72"/>
  <c r="J180" i="72"/>
  <c r="J181" i="72"/>
  <c r="J183" i="72"/>
  <c r="F23" i="72"/>
  <c r="F34" i="72"/>
  <c r="F47" i="72"/>
  <c r="F95" i="72"/>
  <c r="I139" i="72"/>
  <c r="F14" i="72"/>
  <c r="F38" i="72"/>
  <c r="F63" i="72"/>
  <c r="I140" i="72"/>
  <c r="F18" i="72"/>
  <c r="F42" i="72"/>
  <c r="F78" i="72"/>
  <c r="I141" i="72"/>
  <c r="F16" i="72"/>
  <c r="F40" i="72"/>
  <c r="F70" i="72"/>
  <c r="I142" i="72"/>
  <c r="I147" i="72"/>
  <c r="I149" i="72"/>
  <c r="I151" i="72"/>
  <c r="I164" i="72"/>
  <c r="H155" i="72"/>
  <c r="H156" i="72"/>
  <c r="H157" i="72"/>
  <c r="H158" i="72"/>
  <c r="F13" i="72"/>
  <c r="F15" i="72"/>
  <c r="F17" i="72"/>
  <c r="F19" i="72"/>
  <c r="F20" i="72"/>
  <c r="F21" i="72"/>
  <c r="F22" i="72"/>
  <c r="F24" i="72"/>
  <c r="F25" i="72"/>
  <c r="F26" i="72"/>
  <c r="F27" i="72"/>
  <c r="F28" i="72"/>
  <c r="F29" i="72"/>
  <c r="F30" i="72"/>
  <c r="F31" i="72"/>
  <c r="F32" i="72"/>
  <c r="H159" i="72"/>
  <c r="F12" i="72"/>
  <c r="H160" i="72"/>
  <c r="H161" i="72"/>
  <c r="F35" i="72"/>
  <c r="H162" i="72"/>
  <c r="H163" i="72"/>
  <c r="I16" i="61"/>
  <c r="J7" i="61"/>
  <c r="I169" i="72"/>
  <c r="I170" i="72"/>
  <c r="I172" i="72"/>
  <c r="I175" i="72"/>
  <c r="I180" i="72"/>
  <c r="I181" i="72"/>
  <c r="I183" i="72"/>
  <c r="E23" i="72"/>
  <c r="E34" i="72"/>
  <c r="E47" i="72"/>
  <c r="E95" i="72"/>
  <c r="H139" i="72"/>
  <c r="E14" i="72"/>
  <c r="E38" i="72"/>
  <c r="E63" i="72"/>
  <c r="H140" i="72"/>
  <c r="E18" i="72"/>
  <c r="E42" i="72"/>
  <c r="E78" i="72"/>
  <c r="H141" i="72"/>
  <c r="E16" i="72"/>
  <c r="E40" i="72"/>
  <c r="E70" i="72"/>
  <c r="H142" i="72"/>
  <c r="H147" i="72"/>
  <c r="H149" i="72"/>
  <c r="H151" i="72"/>
  <c r="H164" i="72"/>
  <c r="G155" i="72"/>
  <c r="G156" i="72"/>
  <c r="G157" i="72"/>
  <c r="G158" i="72"/>
  <c r="E13" i="72"/>
  <c r="E15" i="72"/>
  <c r="E17" i="72"/>
  <c r="E19" i="72"/>
  <c r="E20" i="72"/>
  <c r="E21" i="72"/>
  <c r="E22" i="72"/>
  <c r="E24" i="72"/>
  <c r="E25" i="72"/>
  <c r="E26" i="72"/>
  <c r="E27" i="72"/>
  <c r="E28" i="72"/>
  <c r="E29" i="72"/>
  <c r="E30" i="72"/>
  <c r="E31" i="72"/>
  <c r="E32" i="72"/>
  <c r="G159" i="72"/>
  <c r="E12" i="72"/>
  <c r="G160" i="72"/>
  <c r="G161" i="72"/>
  <c r="E35" i="72"/>
  <c r="G162" i="72"/>
  <c r="G163" i="72"/>
  <c r="H16" i="61"/>
  <c r="I7" i="61"/>
  <c r="H169" i="72"/>
  <c r="H170" i="72"/>
  <c r="H172" i="72"/>
  <c r="H175" i="72"/>
  <c r="H180" i="72"/>
  <c r="H181" i="72"/>
  <c r="H183" i="72"/>
  <c r="D23" i="72"/>
  <c r="D34" i="72"/>
  <c r="D47" i="72"/>
  <c r="D95" i="72"/>
  <c r="G139" i="72"/>
  <c r="D14" i="72"/>
  <c r="D38" i="72"/>
  <c r="D63" i="72"/>
  <c r="G140" i="72"/>
  <c r="D18" i="72"/>
  <c r="D42" i="72"/>
  <c r="D78" i="72"/>
  <c r="G141" i="72"/>
  <c r="D16" i="72"/>
  <c r="D40" i="72"/>
  <c r="D70" i="72"/>
  <c r="G142" i="72"/>
  <c r="G147" i="72"/>
  <c r="G149" i="72"/>
  <c r="G151" i="72"/>
  <c r="G164" i="72"/>
  <c r="F155" i="72"/>
  <c r="F156" i="72"/>
  <c r="F157" i="72"/>
  <c r="F158" i="72"/>
  <c r="D13" i="72"/>
  <c r="D15" i="72"/>
  <c r="D17" i="72"/>
  <c r="D19" i="72"/>
  <c r="D20" i="72"/>
  <c r="D21" i="72"/>
  <c r="D22" i="72"/>
  <c r="D24" i="72"/>
  <c r="D25" i="72"/>
  <c r="D26" i="72"/>
  <c r="D27" i="72"/>
  <c r="D28" i="72"/>
  <c r="D29" i="72"/>
  <c r="D30" i="72"/>
  <c r="D31" i="72"/>
  <c r="D32" i="72"/>
  <c r="F159" i="72"/>
  <c r="D12" i="72"/>
  <c r="F160" i="72"/>
  <c r="F161" i="72"/>
  <c r="D35" i="72"/>
  <c r="F162" i="72"/>
  <c r="F163" i="72"/>
  <c r="G16" i="61"/>
  <c r="H7" i="61"/>
  <c r="G169" i="72"/>
  <c r="G170" i="72"/>
  <c r="G172" i="72"/>
  <c r="G175" i="72"/>
  <c r="G180" i="72"/>
  <c r="G181" i="72"/>
  <c r="G183" i="72"/>
  <c r="C23" i="72"/>
  <c r="C34" i="72"/>
  <c r="C47" i="72"/>
  <c r="C95" i="72"/>
  <c r="F139" i="72"/>
  <c r="C14" i="72"/>
  <c r="C38" i="72"/>
  <c r="C63" i="72"/>
  <c r="F140" i="72"/>
  <c r="C18" i="72"/>
  <c r="C42" i="72"/>
  <c r="C78" i="72"/>
  <c r="F141" i="72"/>
  <c r="C16" i="72"/>
  <c r="C40" i="72"/>
  <c r="C70" i="72"/>
  <c r="F142" i="72"/>
  <c r="F147" i="72"/>
  <c r="F149" i="72"/>
  <c r="F151" i="72"/>
  <c r="F164" i="72"/>
  <c r="E155" i="72"/>
  <c r="E156" i="72"/>
  <c r="E157" i="72"/>
  <c r="E158" i="72"/>
  <c r="C13" i="72"/>
  <c r="C15" i="72"/>
  <c r="C17" i="72"/>
  <c r="C19" i="72"/>
  <c r="C20" i="72"/>
  <c r="C21" i="72"/>
  <c r="C22" i="72"/>
  <c r="C24" i="72"/>
  <c r="C25" i="72"/>
  <c r="C26" i="72"/>
  <c r="C27" i="72"/>
  <c r="C28" i="72"/>
  <c r="C29" i="72"/>
  <c r="C30" i="72"/>
  <c r="C31" i="72"/>
  <c r="C32" i="72"/>
  <c r="E159" i="72"/>
  <c r="C12" i="72"/>
  <c r="E160" i="72"/>
  <c r="E161" i="72"/>
  <c r="C35" i="72"/>
  <c r="E162" i="72"/>
  <c r="E163" i="72"/>
  <c r="F16" i="61"/>
  <c r="G7" i="61"/>
  <c r="F169" i="72"/>
  <c r="F170" i="72"/>
  <c r="F172" i="72"/>
  <c r="F175" i="72"/>
  <c r="F180" i="72"/>
  <c r="F181" i="72"/>
  <c r="F183" i="72"/>
  <c r="B23" i="72"/>
  <c r="B34" i="72"/>
  <c r="B47" i="72"/>
  <c r="B95" i="72"/>
  <c r="E139" i="72"/>
  <c r="B14" i="72"/>
  <c r="B38" i="72"/>
  <c r="B63" i="72"/>
  <c r="E140" i="72"/>
  <c r="B18" i="72"/>
  <c r="B42" i="72"/>
  <c r="B78" i="72"/>
  <c r="E141" i="72"/>
  <c r="B16" i="72"/>
  <c r="B40" i="72"/>
  <c r="B70" i="72"/>
  <c r="E142" i="72"/>
  <c r="E147" i="72"/>
  <c r="E149" i="72"/>
  <c r="E151" i="72"/>
  <c r="E164" i="72"/>
  <c r="D155" i="72"/>
  <c r="D156" i="72"/>
  <c r="D157" i="72"/>
  <c r="D158" i="72"/>
  <c r="B13" i="72"/>
  <c r="B15" i="72"/>
  <c r="B17" i="72"/>
  <c r="B19" i="72"/>
  <c r="B20" i="72"/>
  <c r="B21" i="72"/>
  <c r="B22" i="72"/>
  <c r="B24" i="72"/>
  <c r="B25" i="72"/>
  <c r="B26" i="72"/>
  <c r="B27" i="72"/>
  <c r="B28" i="72"/>
  <c r="B29" i="72"/>
  <c r="B30" i="72"/>
  <c r="B31" i="72"/>
  <c r="B32" i="72"/>
  <c r="D159" i="72"/>
  <c r="B12" i="72"/>
  <c r="D160" i="72"/>
  <c r="D161" i="72"/>
  <c r="B35" i="72"/>
  <c r="D162" i="72"/>
  <c r="D163" i="72"/>
  <c r="E16" i="61"/>
  <c r="F7" i="61"/>
  <c r="E169" i="72"/>
  <c r="E170" i="72"/>
  <c r="E172" i="72"/>
  <c r="E175" i="72"/>
  <c r="E180" i="72"/>
  <c r="E181" i="72"/>
  <c r="E183" i="72"/>
  <c r="D139" i="72"/>
  <c r="D140" i="72"/>
  <c r="D141" i="72"/>
  <c r="D142" i="72"/>
  <c r="D147" i="72"/>
  <c r="D149" i="72"/>
  <c r="D151" i="72"/>
  <c r="D164" i="72"/>
  <c r="D170" i="72"/>
  <c r="D172" i="72"/>
  <c r="D175" i="72"/>
  <c r="D180" i="72"/>
  <c r="D181" i="72"/>
  <c r="D183" i="72"/>
  <c r="A14" i="55"/>
  <c r="A71" i="55"/>
  <c r="A123" i="55"/>
  <c r="A181" i="55"/>
  <c r="A142" i="72"/>
  <c r="A158" i="72"/>
  <c r="A13" i="55"/>
  <c r="A70" i="55"/>
  <c r="A122" i="55"/>
  <c r="A180" i="55"/>
  <c r="A141" i="72"/>
  <c r="A157" i="72"/>
  <c r="A12" i="55"/>
  <c r="A69" i="55"/>
  <c r="A121" i="55"/>
  <c r="A179" i="55"/>
  <c r="A140" i="72"/>
  <c r="A156" i="72"/>
  <c r="A11" i="55"/>
  <c r="A68" i="55"/>
  <c r="A120" i="55"/>
  <c r="A178" i="55"/>
  <c r="A139" i="72"/>
  <c r="A155" i="72"/>
  <c r="K148"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H96" i="72"/>
  <c r="G96" i="72"/>
  <c r="F96" i="72"/>
  <c r="E96" i="72"/>
  <c r="D96" i="72"/>
  <c r="C96" i="72"/>
  <c r="B96" i="72"/>
  <c r="A23" i="72"/>
  <c r="A47" i="72"/>
  <c r="A94" i="72"/>
  <c r="A22" i="72"/>
  <c r="A46" i="72"/>
  <c r="A91" i="72"/>
  <c r="A50" i="81"/>
  <c r="A75" i="81"/>
  <c r="A21" i="72"/>
  <c r="A45" i="72"/>
  <c r="A87" i="72"/>
  <c r="A20" i="72"/>
  <c r="A44" i="72"/>
  <c r="A83" i="72"/>
  <c r="A19" i="72"/>
  <c r="A43" i="72"/>
  <c r="A80" i="72"/>
  <c r="H79" i="72"/>
  <c r="G79" i="72"/>
  <c r="F79" i="72"/>
  <c r="E79" i="72"/>
  <c r="D79" i="72"/>
  <c r="C79" i="72"/>
  <c r="B79" i="72"/>
  <c r="A18" i="72"/>
  <c r="A42" i="72"/>
  <c r="A77" i="72"/>
  <c r="A17" i="72"/>
  <c r="A41" i="72"/>
  <c r="A72" i="72"/>
  <c r="H71" i="72"/>
  <c r="G71" i="72"/>
  <c r="F71" i="72"/>
  <c r="E71" i="72"/>
  <c r="D71" i="72"/>
  <c r="C71" i="72"/>
  <c r="B71" i="72"/>
  <c r="A16" i="72"/>
  <c r="A40" i="72"/>
  <c r="A69" i="72"/>
  <c r="A15" i="72"/>
  <c r="A39" i="72"/>
  <c r="A65" i="72"/>
  <c r="H64" i="72"/>
  <c r="G64" i="72"/>
  <c r="F64" i="72"/>
  <c r="E64" i="72"/>
  <c r="D64" i="72"/>
  <c r="C64" i="72"/>
  <c r="B64" i="72"/>
  <c r="A14" i="72"/>
  <c r="A38" i="72"/>
  <c r="A62" i="72"/>
  <c r="A13" i="72"/>
  <c r="A37" i="72"/>
  <c r="A58" i="72"/>
  <c r="H55" i="72"/>
  <c r="G55" i="72"/>
  <c r="F55" i="72"/>
  <c r="E55" i="72"/>
  <c r="D55" i="72"/>
  <c r="C55" i="72"/>
  <c r="B55" i="72"/>
  <c r="H54" i="72"/>
  <c r="G54" i="72"/>
  <c r="F54" i="72"/>
  <c r="E54" i="72"/>
  <c r="D54" i="72"/>
  <c r="C54" i="72"/>
  <c r="B54" i="72"/>
  <c r="H53" i="72"/>
  <c r="G53" i="72"/>
  <c r="F53" i="72"/>
  <c r="E53" i="72"/>
  <c r="D53" i="72"/>
  <c r="C53" i="72"/>
  <c r="B53" i="72"/>
  <c r="H52" i="72"/>
  <c r="G52" i="72"/>
  <c r="F52" i="72"/>
  <c r="E52" i="72"/>
  <c r="D52" i="72"/>
  <c r="C52" i="72"/>
  <c r="B52" i="72"/>
  <c r="H51" i="72"/>
  <c r="G51" i="72"/>
  <c r="F51" i="72"/>
  <c r="E51" i="72"/>
  <c r="D51" i="72"/>
  <c r="C51" i="72"/>
  <c r="B51" i="72"/>
  <c r="H50" i="72"/>
  <c r="G50" i="72"/>
  <c r="F50" i="72"/>
  <c r="E50" i="72"/>
  <c r="D50" i="72"/>
  <c r="C50" i="72"/>
  <c r="B50" i="72"/>
  <c r="H49" i="72"/>
  <c r="G49" i="72"/>
  <c r="F49" i="72"/>
  <c r="E49" i="72"/>
  <c r="D49" i="72"/>
  <c r="C49" i="72"/>
  <c r="B49" i="72"/>
  <c r="H48" i="72"/>
  <c r="G48" i="72"/>
  <c r="F48" i="72"/>
  <c r="E48" i="72"/>
  <c r="D48" i="72"/>
  <c r="C48" i="72"/>
  <c r="B48" i="72"/>
  <c r="H46" i="72"/>
  <c r="G46" i="72"/>
  <c r="F46" i="72"/>
  <c r="E46" i="72"/>
  <c r="D46" i="72"/>
  <c r="C46" i="72"/>
  <c r="B46" i="72"/>
  <c r="H45" i="72"/>
  <c r="G45" i="72"/>
  <c r="F45" i="72"/>
  <c r="E45" i="72"/>
  <c r="D45" i="72"/>
  <c r="C45" i="72"/>
  <c r="B45" i="72"/>
  <c r="H44" i="72"/>
  <c r="G44" i="72"/>
  <c r="F44" i="72"/>
  <c r="E44" i="72"/>
  <c r="D44" i="72"/>
  <c r="C44" i="72"/>
  <c r="B44" i="72"/>
  <c r="H43" i="72"/>
  <c r="G43" i="72"/>
  <c r="F43" i="72"/>
  <c r="E43" i="72"/>
  <c r="D43" i="72"/>
  <c r="C43" i="72"/>
  <c r="B43" i="72"/>
  <c r="H41" i="72"/>
  <c r="G41" i="72"/>
  <c r="F41" i="72"/>
  <c r="E41" i="72"/>
  <c r="D41" i="72"/>
  <c r="C41" i="72"/>
  <c r="B41" i="72"/>
  <c r="H39" i="72"/>
  <c r="G39" i="72"/>
  <c r="F39" i="72"/>
  <c r="E39" i="72"/>
  <c r="D39" i="72"/>
  <c r="C39" i="72"/>
  <c r="B39" i="72"/>
  <c r="H37" i="72"/>
  <c r="G37" i="72"/>
  <c r="F37" i="72"/>
  <c r="E37" i="72"/>
  <c r="D37" i="72"/>
  <c r="C37" i="72"/>
  <c r="B37" i="72"/>
  <c r="C40" i="81"/>
  <c r="C42" i="81"/>
  <c r="D40" i="81"/>
  <c r="D42" i="81"/>
  <c r="E40" i="81"/>
  <c r="E42" i="81"/>
  <c r="F40" i="81"/>
  <c r="F42" i="81"/>
  <c r="G40" i="81"/>
  <c r="G42" i="81"/>
  <c r="H40" i="81"/>
  <c r="H42" i="81"/>
  <c r="H11" i="55"/>
  <c r="H63" i="55"/>
  <c r="H68" i="55"/>
  <c r="H120" i="55"/>
  <c r="G11" i="55"/>
  <c r="G63" i="55"/>
  <c r="G68" i="55"/>
  <c r="G120" i="55"/>
  <c r="E172" i="55"/>
  <c r="F172" i="55"/>
  <c r="G172" i="55"/>
  <c r="H172" i="55"/>
  <c r="I172" i="55"/>
  <c r="J172" i="55"/>
  <c r="J178" i="55"/>
  <c r="C43" i="81"/>
  <c r="D43" i="81"/>
  <c r="E43" i="81"/>
  <c r="F43" i="81"/>
  <c r="G43" i="81"/>
  <c r="H43" i="81"/>
  <c r="H12" i="55"/>
  <c r="H69" i="55"/>
  <c r="H121" i="55"/>
  <c r="G12" i="55"/>
  <c r="G69" i="55"/>
  <c r="G121" i="55"/>
  <c r="J179" i="55"/>
  <c r="C44" i="81"/>
  <c r="D44" i="81"/>
  <c r="E44" i="81"/>
  <c r="F44" i="81"/>
  <c r="G44" i="81"/>
  <c r="H44" i="81"/>
  <c r="H13" i="55"/>
  <c r="H70" i="55"/>
  <c r="H122" i="55"/>
  <c r="G13" i="55"/>
  <c r="G70" i="55"/>
  <c r="G122" i="55"/>
  <c r="J180" i="55"/>
  <c r="C45" i="81"/>
  <c r="D45" i="81"/>
  <c r="E45" i="81"/>
  <c r="F45" i="81"/>
  <c r="G45" i="81"/>
  <c r="H45" i="81"/>
  <c r="H14" i="55"/>
  <c r="H71" i="55"/>
  <c r="H123" i="55"/>
  <c r="G14" i="55"/>
  <c r="G71" i="55"/>
  <c r="G123" i="55"/>
  <c r="J181" i="55"/>
  <c r="C46" i="81"/>
  <c r="D46" i="81"/>
  <c r="E46" i="81"/>
  <c r="F46" i="81"/>
  <c r="G46" i="81"/>
  <c r="H46" i="81"/>
  <c r="H15" i="55"/>
  <c r="H72" i="55"/>
  <c r="H124" i="55"/>
  <c r="G15" i="55"/>
  <c r="G72" i="55"/>
  <c r="G124" i="55"/>
  <c r="J182" i="55"/>
  <c r="C47" i="81"/>
  <c r="D47" i="81"/>
  <c r="E47" i="81"/>
  <c r="F47" i="81"/>
  <c r="G47" i="81"/>
  <c r="H47" i="81"/>
  <c r="H16" i="55"/>
  <c r="H73" i="55"/>
  <c r="H125" i="55"/>
  <c r="G16" i="55"/>
  <c r="G73" i="55"/>
  <c r="G125" i="55"/>
  <c r="J183" i="55"/>
  <c r="C48" i="81"/>
  <c r="D48" i="81"/>
  <c r="E48" i="81"/>
  <c r="F48" i="81"/>
  <c r="G48" i="81"/>
  <c r="H48" i="81"/>
  <c r="H17" i="55"/>
  <c r="H74" i="55"/>
  <c r="H126" i="55"/>
  <c r="G17" i="55"/>
  <c r="G74" i="55"/>
  <c r="G126" i="55"/>
  <c r="J184" i="55"/>
  <c r="C49" i="81"/>
  <c r="D49" i="81"/>
  <c r="E49" i="81"/>
  <c r="F49" i="81"/>
  <c r="G49" i="81"/>
  <c r="H49" i="81"/>
  <c r="H18" i="55"/>
  <c r="H75" i="55"/>
  <c r="H127" i="55"/>
  <c r="G18" i="55"/>
  <c r="G75" i="55"/>
  <c r="G127" i="55"/>
  <c r="J185" i="55"/>
  <c r="C50" i="81"/>
  <c r="D50" i="81"/>
  <c r="E50" i="81"/>
  <c r="F50" i="81"/>
  <c r="G50" i="81"/>
  <c r="H50" i="81"/>
  <c r="H19" i="55"/>
  <c r="H76" i="55"/>
  <c r="H128" i="55"/>
  <c r="G19" i="55"/>
  <c r="G76" i="55"/>
  <c r="G128" i="55"/>
  <c r="J186" i="55"/>
  <c r="C51" i="81"/>
  <c r="D51" i="81"/>
  <c r="E51" i="81"/>
  <c r="F51" i="81"/>
  <c r="G51" i="81"/>
  <c r="H51" i="81"/>
  <c r="H20" i="55"/>
  <c r="H77" i="55"/>
  <c r="H129" i="55"/>
  <c r="G20" i="55"/>
  <c r="G77" i="55"/>
  <c r="G129" i="55"/>
  <c r="J187" i="55"/>
  <c r="C52" i="81"/>
  <c r="D52" i="81"/>
  <c r="E52" i="81"/>
  <c r="F52" i="81"/>
  <c r="G52" i="81"/>
  <c r="H52" i="81"/>
  <c r="H21" i="55"/>
  <c r="H78" i="55"/>
  <c r="H130" i="55"/>
  <c r="G21" i="55"/>
  <c r="G78" i="55"/>
  <c r="G130" i="55"/>
  <c r="J188" i="55"/>
  <c r="C53" i="81"/>
  <c r="D53" i="81"/>
  <c r="E53" i="81"/>
  <c r="F53" i="81"/>
  <c r="G53" i="81"/>
  <c r="H53" i="81"/>
  <c r="H22" i="55"/>
  <c r="H79" i="55"/>
  <c r="H131" i="55"/>
  <c r="G22" i="55"/>
  <c r="G79" i="55"/>
  <c r="G131" i="55"/>
  <c r="J189" i="55"/>
  <c r="C54" i="81"/>
  <c r="D54" i="81"/>
  <c r="E54" i="81"/>
  <c r="F54" i="81"/>
  <c r="G54" i="81"/>
  <c r="H54" i="81"/>
  <c r="H23" i="55"/>
  <c r="H80" i="55"/>
  <c r="H132" i="55"/>
  <c r="G23" i="55"/>
  <c r="G80" i="55"/>
  <c r="G132" i="55"/>
  <c r="J190" i="55"/>
  <c r="C55" i="81"/>
  <c r="D55" i="81"/>
  <c r="E55" i="81"/>
  <c r="F55" i="81"/>
  <c r="G55" i="81"/>
  <c r="H55" i="81"/>
  <c r="H24" i="55"/>
  <c r="H81" i="55"/>
  <c r="H133" i="55"/>
  <c r="G24" i="55"/>
  <c r="G81" i="55"/>
  <c r="G133" i="55"/>
  <c r="J191" i="55"/>
  <c r="C56" i="81"/>
  <c r="D56" i="81"/>
  <c r="E56" i="81"/>
  <c r="F56" i="81"/>
  <c r="G56" i="81"/>
  <c r="H56" i="81"/>
  <c r="H25" i="55"/>
  <c r="H82" i="55"/>
  <c r="H134" i="55"/>
  <c r="G25" i="55"/>
  <c r="G82" i="55"/>
  <c r="G134" i="55"/>
  <c r="J192" i="55"/>
  <c r="C57" i="81"/>
  <c r="D57" i="81"/>
  <c r="E57" i="81"/>
  <c r="F57" i="81"/>
  <c r="G57" i="81"/>
  <c r="H57" i="81"/>
  <c r="H26" i="55"/>
  <c r="H83" i="55"/>
  <c r="H135" i="55"/>
  <c r="G26" i="55"/>
  <c r="G83" i="55"/>
  <c r="G135" i="55"/>
  <c r="J193" i="55"/>
  <c r="C58" i="81"/>
  <c r="D58" i="81"/>
  <c r="E58" i="81"/>
  <c r="F58" i="81"/>
  <c r="G58" i="81"/>
  <c r="H58" i="81"/>
  <c r="H27" i="55"/>
  <c r="H84" i="55"/>
  <c r="H136" i="55"/>
  <c r="G27" i="55"/>
  <c r="G84" i="55"/>
  <c r="G136" i="55"/>
  <c r="J194" i="55"/>
  <c r="C59" i="81"/>
  <c r="D59" i="81"/>
  <c r="E59" i="81"/>
  <c r="F59" i="81"/>
  <c r="G59" i="81"/>
  <c r="H59" i="81"/>
  <c r="H28" i="55"/>
  <c r="H85" i="55"/>
  <c r="H137" i="55"/>
  <c r="G28" i="55"/>
  <c r="G85" i="55"/>
  <c r="G137" i="55"/>
  <c r="J195" i="55"/>
  <c r="C60" i="81"/>
  <c r="D60" i="81"/>
  <c r="E60" i="81"/>
  <c r="F60" i="81"/>
  <c r="G60" i="81"/>
  <c r="H60" i="81"/>
  <c r="H29" i="55"/>
  <c r="H86" i="55"/>
  <c r="H138" i="55"/>
  <c r="G29" i="55"/>
  <c r="G86" i="55"/>
  <c r="G138" i="55"/>
  <c r="J196" i="55"/>
  <c r="C61" i="81"/>
  <c r="D61" i="81"/>
  <c r="E61" i="81"/>
  <c r="F61" i="81"/>
  <c r="G61" i="81"/>
  <c r="H61" i="81"/>
  <c r="H30" i="55"/>
  <c r="H87" i="55"/>
  <c r="H139" i="55"/>
  <c r="G30" i="55"/>
  <c r="G87" i="55"/>
  <c r="G139" i="55"/>
  <c r="J197" i="55"/>
  <c r="C62" i="81"/>
  <c r="D62" i="81"/>
  <c r="E62" i="81"/>
  <c r="F62" i="81"/>
  <c r="G62" i="81"/>
  <c r="H62" i="81"/>
  <c r="H31" i="55"/>
  <c r="H88" i="55"/>
  <c r="H140" i="55"/>
  <c r="G31" i="55"/>
  <c r="G88" i="55"/>
  <c r="G140" i="55"/>
  <c r="J198" i="55"/>
  <c r="H32" i="55"/>
  <c r="H33" i="55"/>
  <c r="H65" i="55"/>
  <c r="J200" i="55"/>
  <c r="C44" i="83"/>
  <c r="C46" i="83"/>
  <c r="D44" i="83"/>
  <c r="D46" i="83"/>
  <c r="E44" i="83"/>
  <c r="E46" i="83"/>
  <c r="F44" i="83"/>
  <c r="F46" i="83"/>
  <c r="G44" i="83"/>
  <c r="G46" i="83"/>
  <c r="H44" i="83"/>
  <c r="H46" i="83"/>
  <c r="H35" i="55"/>
  <c r="H92" i="55"/>
  <c r="H144" i="55"/>
  <c r="G35" i="55"/>
  <c r="G92" i="55"/>
  <c r="G144" i="55"/>
  <c r="J203" i="55"/>
  <c r="C47" i="83"/>
  <c r="D47" i="83"/>
  <c r="E47" i="83"/>
  <c r="F47" i="83"/>
  <c r="G47" i="83"/>
  <c r="H47" i="83"/>
  <c r="H36" i="55"/>
  <c r="H93" i="55"/>
  <c r="H145" i="55"/>
  <c r="G36" i="55"/>
  <c r="G93" i="55"/>
  <c r="G145" i="55"/>
  <c r="J204" i="55"/>
  <c r="C48" i="83"/>
  <c r="D48" i="83"/>
  <c r="E48" i="83"/>
  <c r="F48" i="83"/>
  <c r="G48" i="83"/>
  <c r="H48" i="83"/>
  <c r="H37" i="55"/>
  <c r="H94" i="55"/>
  <c r="H146" i="55"/>
  <c r="G37" i="55"/>
  <c r="G94" i="55"/>
  <c r="G146" i="55"/>
  <c r="J205" i="55"/>
  <c r="C49" i="83"/>
  <c r="D49" i="83"/>
  <c r="E49" i="83"/>
  <c r="F49" i="83"/>
  <c r="G49" i="83"/>
  <c r="H49" i="83"/>
  <c r="H38" i="55"/>
  <c r="H95" i="55"/>
  <c r="H147" i="55"/>
  <c r="G38" i="55"/>
  <c r="G95" i="55"/>
  <c r="G147" i="55"/>
  <c r="J206" i="55"/>
  <c r="C50" i="83"/>
  <c r="D50" i="83"/>
  <c r="E50" i="83"/>
  <c r="F50" i="83"/>
  <c r="G50" i="83"/>
  <c r="H50" i="83"/>
  <c r="H39" i="55"/>
  <c r="H96" i="55"/>
  <c r="H148" i="55"/>
  <c r="G39" i="55"/>
  <c r="G96" i="55"/>
  <c r="G148" i="55"/>
  <c r="J207" i="55"/>
  <c r="C51" i="83"/>
  <c r="D51" i="83"/>
  <c r="E51" i="83"/>
  <c r="F51" i="83"/>
  <c r="G51" i="83"/>
  <c r="H51" i="83"/>
  <c r="H40" i="55"/>
  <c r="H97" i="55"/>
  <c r="H149" i="55"/>
  <c r="G40" i="55"/>
  <c r="G97" i="55"/>
  <c r="G149" i="55"/>
  <c r="J208" i="55"/>
  <c r="C52" i="83"/>
  <c r="D52" i="83"/>
  <c r="E52" i="83"/>
  <c r="F52" i="83"/>
  <c r="G52" i="83"/>
  <c r="H52" i="83"/>
  <c r="H41" i="55"/>
  <c r="H98" i="55"/>
  <c r="H150" i="55"/>
  <c r="G41" i="55"/>
  <c r="G98" i="55"/>
  <c r="G150" i="55"/>
  <c r="J209" i="55"/>
  <c r="C53" i="83"/>
  <c r="D53" i="83"/>
  <c r="E53" i="83"/>
  <c r="F53" i="83"/>
  <c r="G53" i="83"/>
  <c r="H53" i="83"/>
  <c r="H42" i="55"/>
  <c r="H99" i="55"/>
  <c r="H151" i="55"/>
  <c r="G42" i="55"/>
  <c r="G99" i="55"/>
  <c r="G151" i="55"/>
  <c r="J210" i="55"/>
  <c r="C54" i="83"/>
  <c r="D54" i="83"/>
  <c r="E54" i="83"/>
  <c r="F54" i="83"/>
  <c r="G54" i="83"/>
  <c r="H54" i="83"/>
  <c r="H43" i="55"/>
  <c r="H100" i="55"/>
  <c r="H152" i="55"/>
  <c r="G43" i="55"/>
  <c r="G100" i="55"/>
  <c r="G152" i="55"/>
  <c r="J211" i="55"/>
  <c r="C55" i="83"/>
  <c r="D55" i="83"/>
  <c r="E55" i="83"/>
  <c r="F55" i="83"/>
  <c r="G55" i="83"/>
  <c r="H55" i="83"/>
  <c r="H44" i="55"/>
  <c r="H101" i="55"/>
  <c r="H153" i="55"/>
  <c r="G44" i="55"/>
  <c r="G101" i="55"/>
  <c r="G153" i="55"/>
  <c r="J212" i="55"/>
  <c r="C56" i="83"/>
  <c r="D56" i="83"/>
  <c r="E56" i="83"/>
  <c r="F56" i="83"/>
  <c r="G56" i="83"/>
  <c r="H56" i="83"/>
  <c r="H45" i="55"/>
  <c r="H102" i="55"/>
  <c r="H154" i="55"/>
  <c r="G45" i="55"/>
  <c r="G102" i="55"/>
  <c r="G154" i="55"/>
  <c r="J213" i="55"/>
  <c r="C57" i="83"/>
  <c r="D57" i="83"/>
  <c r="E57" i="83"/>
  <c r="F57" i="83"/>
  <c r="G57" i="83"/>
  <c r="H57" i="83"/>
  <c r="H46" i="55"/>
  <c r="H103" i="55"/>
  <c r="H155" i="55"/>
  <c r="G46" i="55"/>
  <c r="G103" i="55"/>
  <c r="G155" i="55"/>
  <c r="J214" i="55"/>
  <c r="C58" i="83"/>
  <c r="D58" i="83"/>
  <c r="E58" i="83"/>
  <c r="F58" i="83"/>
  <c r="G58" i="83"/>
  <c r="H58" i="83"/>
  <c r="H47" i="55"/>
  <c r="H104" i="55"/>
  <c r="H156" i="55"/>
  <c r="G47" i="55"/>
  <c r="G104" i="55"/>
  <c r="G156" i="55"/>
  <c r="J215" i="55"/>
  <c r="C59" i="83"/>
  <c r="D59" i="83"/>
  <c r="E59" i="83"/>
  <c r="F59" i="83"/>
  <c r="G59" i="83"/>
  <c r="H59" i="83"/>
  <c r="H48" i="55"/>
  <c r="H105" i="55"/>
  <c r="H157" i="55"/>
  <c r="G48" i="55"/>
  <c r="G105" i="55"/>
  <c r="G157" i="55"/>
  <c r="J216" i="55"/>
  <c r="C60" i="83"/>
  <c r="D60" i="83"/>
  <c r="E60" i="83"/>
  <c r="F60" i="83"/>
  <c r="G60" i="83"/>
  <c r="H60" i="83"/>
  <c r="H49" i="55"/>
  <c r="H106" i="55"/>
  <c r="H158" i="55"/>
  <c r="G49" i="55"/>
  <c r="G106" i="55"/>
  <c r="G158" i="55"/>
  <c r="J217" i="55"/>
  <c r="C61" i="83"/>
  <c r="D61" i="83"/>
  <c r="E61" i="83"/>
  <c r="F61" i="83"/>
  <c r="G61" i="83"/>
  <c r="H61" i="83"/>
  <c r="H50" i="55"/>
  <c r="H107" i="55"/>
  <c r="H159" i="55"/>
  <c r="G50" i="55"/>
  <c r="G107" i="55"/>
  <c r="G159" i="55"/>
  <c r="J218" i="55"/>
  <c r="C62" i="83"/>
  <c r="D62" i="83"/>
  <c r="E62" i="83"/>
  <c r="F62" i="83"/>
  <c r="G62" i="83"/>
  <c r="H62" i="83"/>
  <c r="H51" i="55"/>
  <c r="H108" i="55"/>
  <c r="H160" i="55"/>
  <c r="G51" i="55"/>
  <c r="G108" i="55"/>
  <c r="G160" i="55"/>
  <c r="J219" i="55"/>
  <c r="C63" i="83"/>
  <c r="D63" i="83"/>
  <c r="E63" i="83"/>
  <c r="F63" i="83"/>
  <c r="G63" i="83"/>
  <c r="H63" i="83"/>
  <c r="H52" i="55"/>
  <c r="H109" i="55"/>
  <c r="H161" i="55"/>
  <c r="G52" i="55"/>
  <c r="G109" i="55"/>
  <c r="G161" i="55"/>
  <c r="J220" i="55"/>
  <c r="C67" i="83"/>
  <c r="D67" i="83"/>
  <c r="E67" i="83"/>
  <c r="F67" i="83"/>
  <c r="G67" i="83"/>
  <c r="H67" i="83"/>
  <c r="H56" i="55"/>
  <c r="H113" i="55"/>
  <c r="H165" i="55"/>
  <c r="G56" i="55"/>
  <c r="G113" i="55"/>
  <c r="G165" i="55"/>
  <c r="J224" i="55"/>
  <c r="C68" i="83"/>
  <c r="D68" i="83"/>
  <c r="E68" i="83"/>
  <c r="F68" i="83"/>
  <c r="G68" i="83"/>
  <c r="H68" i="83"/>
  <c r="H57" i="55"/>
  <c r="H114" i="55"/>
  <c r="H166" i="55"/>
  <c r="G57" i="55"/>
  <c r="G114" i="55"/>
  <c r="G166" i="55"/>
  <c r="J225" i="55"/>
  <c r="C69" i="83"/>
  <c r="D69" i="83"/>
  <c r="E69" i="83"/>
  <c r="F69" i="83"/>
  <c r="G69" i="83"/>
  <c r="H69" i="83"/>
  <c r="H58" i="55"/>
  <c r="H115" i="55"/>
  <c r="H167" i="55"/>
  <c r="G58" i="55"/>
  <c r="G115" i="55"/>
  <c r="G167" i="55"/>
  <c r="J226" i="55"/>
  <c r="C70" i="83"/>
  <c r="D70" i="83"/>
  <c r="E70" i="83"/>
  <c r="F70" i="83"/>
  <c r="G70" i="83"/>
  <c r="H70" i="83"/>
  <c r="H59" i="55"/>
  <c r="H116" i="55"/>
  <c r="H168" i="55"/>
  <c r="G59" i="55"/>
  <c r="G116" i="55"/>
  <c r="G168" i="55"/>
  <c r="J227" i="55"/>
  <c r="H89" i="55"/>
  <c r="H141" i="55"/>
  <c r="G32" i="55"/>
  <c r="G89" i="55"/>
  <c r="G141" i="55"/>
  <c r="J199" i="55"/>
  <c r="H162" i="55"/>
  <c r="G162" i="55"/>
  <c r="J221" i="55"/>
  <c r="H163" i="55"/>
  <c r="G163" i="55"/>
  <c r="J222" i="55"/>
  <c r="H164" i="55"/>
  <c r="G164" i="55"/>
  <c r="J223" i="55"/>
  <c r="J229" i="55"/>
  <c r="J233" i="55"/>
  <c r="J234" i="55"/>
  <c r="J235" i="55"/>
  <c r="J236" i="55"/>
  <c r="J237" i="55"/>
  <c r="J238" i="55"/>
  <c r="J239" i="55"/>
  <c r="C240" i="55"/>
  <c r="J240" i="55"/>
  <c r="J241" i="55"/>
  <c r="C242" i="55"/>
  <c r="J242" i="55"/>
  <c r="J243" i="55"/>
  <c r="J244" i="55"/>
  <c r="J245" i="55"/>
  <c r="J246" i="55"/>
  <c r="J247" i="55"/>
  <c r="J248" i="55"/>
  <c r="J249" i="55"/>
  <c r="J250" i="55"/>
  <c r="J251" i="55"/>
  <c r="J252" i="55"/>
  <c r="J253" i="55"/>
  <c r="H10" i="55"/>
  <c r="J282" i="55"/>
  <c r="H66" i="57"/>
  <c r="B283" i="55"/>
  <c r="J283" i="55"/>
  <c r="J284" i="55"/>
  <c r="J285" i="55"/>
  <c r="I233" i="55"/>
  <c r="I234" i="55"/>
  <c r="I235" i="55"/>
  <c r="I236" i="55"/>
  <c r="I237" i="55"/>
  <c r="I238" i="55"/>
  <c r="I239" i="55"/>
  <c r="I240" i="55"/>
  <c r="I241" i="55"/>
  <c r="I242" i="55"/>
  <c r="I243" i="55"/>
  <c r="I244" i="55"/>
  <c r="I245" i="55"/>
  <c r="I246" i="55"/>
  <c r="I247" i="55"/>
  <c r="I248" i="55"/>
  <c r="I249" i="55"/>
  <c r="I250" i="55"/>
  <c r="I251" i="55"/>
  <c r="I252" i="55"/>
  <c r="I253" i="55"/>
  <c r="G33" i="55"/>
  <c r="G10" i="55"/>
  <c r="I282" i="55"/>
  <c r="I283" i="55"/>
  <c r="I284" i="55"/>
  <c r="C257" i="55"/>
  <c r="I257" i="55"/>
  <c r="C258" i="55"/>
  <c r="I258" i="55"/>
  <c r="I259" i="55"/>
  <c r="C260" i="55"/>
  <c r="I260" i="55"/>
  <c r="C261" i="55"/>
  <c r="I261" i="55"/>
  <c r="I262" i="55"/>
  <c r="I263" i="55"/>
  <c r="I264" i="55"/>
  <c r="I265" i="55"/>
  <c r="I266" i="55"/>
  <c r="I267" i="55"/>
  <c r="I268" i="55"/>
  <c r="I269" i="55"/>
  <c r="I270" i="55"/>
  <c r="I271" i="55"/>
  <c r="I272" i="55"/>
  <c r="I273" i="55"/>
  <c r="I274" i="55"/>
  <c r="I275" i="55"/>
  <c r="I276" i="55"/>
  <c r="I277" i="55"/>
  <c r="I278" i="55"/>
  <c r="I254" i="55"/>
  <c r="I255" i="55"/>
  <c r="I279" i="55"/>
  <c r="I280" i="55"/>
  <c r="J15" i="61"/>
  <c r="K6" i="61"/>
  <c r="J289" i="55"/>
  <c r="J257" i="55"/>
  <c r="J258" i="55"/>
  <c r="J259" i="55"/>
  <c r="J260" i="55"/>
  <c r="J261" i="55"/>
  <c r="J262" i="55"/>
  <c r="J263" i="55"/>
  <c r="J264" i="55"/>
  <c r="J265" i="55"/>
  <c r="J266" i="55"/>
  <c r="J267" i="55"/>
  <c r="J268" i="55"/>
  <c r="J269" i="55"/>
  <c r="J270" i="55"/>
  <c r="J271" i="55"/>
  <c r="J272" i="55"/>
  <c r="J273" i="55"/>
  <c r="J274" i="55"/>
  <c r="J275" i="55"/>
  <c r="J276" i="55"/>
  <c r="J277" i="55"/>
  <c r="J278" i="55"/>
  <c r="J254" i="55"/>
  <c r="J255" i="55"/>
  <c r="J279" i="55"/>
  <c r="J280" i="55"/>
  <c r="K15" i="61"/>
  <c r="J290" i="55"/>
  <c r="J292" i="55"/>
  <c r="J294" i="55"/>
  <c r="J301" i="55"/>
  <c r="J302" i="55"/>
  <c r="J305" i="55"/>
  <c r="F11" i="55"/>
  <c r="F63" i="55"/>
  <c r="F68" i="55"/>
  <c r="F120" i="55"/>
  <c r="I178" i="55"/>
  <c r="F12" i="55"/>
  <c r="F69" i="55"/>
  <c r="F121" i="55"/>
  <c r="I179" i="55"/>
  <c r="F13" i="55"/>
  <c r="F70" i="55"/>
  <c r="F122" i="55"/>
  <c r="I180" i="55"/>
  <c r="F14" i="55"/>
  <c r="F71" i="55"/>
  <c r="F123" i="55"/>
  <c r="I181" i="55"/>
  <c r="F15" i="55"/>
  <c r="F72" i="55"/>
  <c r="F124" i="55"/>
  <c r="I182" i="55"/>
  <c r="F16" i="55"/>
  <c r="F73" i="55"/>
  <c r="F125" i="55"/>
  <c r="I183" i="55"/>
  <c r="F17" i="55"/>
  <c r="F74" i="55"/>
  <c r="F126" i="55"/>
  <c r="I184" i="55"/>
  <c r="F18" i="55"/>
  <c r="F75" i="55"/>
  <c r="F127" i="55"/>
  <c r="I185" i="55"/>
  <c r="F19" i="55"/>
  <c r="F76" i="55"/>
  <c r="F128" i="55"/>
  <c r="I186" i="55"/>
  <c r="F20" i="55"/>
  <c r="F77" i="55"/>
  <c r="F129" i="55"/>
  <c r="I187" i="55"/>
  <c r="F21" i="55"/>
  <c r="F78" i="55"/>
  <c r="F130" i="55"/>
  <c r="I188" i="55"/>
  <c r="F22" i="55"/>
  <c r="F79" i="55"/>
  <c r="F131" i="55"/>
  <c r="I189" i="55"/>
  <c r="F23" i="55"/>
  <c r="F80" i="55"/>
  <c r="F132" i="55"/>
  <c r="I190" i="55"/>
  <c r="F24" i="55"/>
  <c r="F81" i="55"/>
  <c r="F133" i="55"/>
  <c r="I191" i="55"/>
  <c r="F25" i="55"/>
  <c r="F82" i="55"/>
  <c r="F134" i="55"/>
  <c r="I192" i="55"/>
  <c r="F26" i="55"/>
  <c r="F83" i="55"/>
  <c r="F135" i="55"/>
  <c r="I193" i="55"/>
  <c r="F27" i="55"/>
  <c r="F84" i="55"/>
  <c r="F136" i="55"/>
  <c r="I194" i="55"/>
  <c r="F28" i="55"/>
  <c r="F85" i="55"/>
  <c r="F137" i="55"/>
  <c r="I195" i="55"/>
  <c r="F29" i="55"/>
  <c r="F86" i="55"/>
  <c r="F138" i="55"/>
  <c r="I196" i="55"/>
  <c r="F30" i="55"/>
  <c r="F87" i="55"/>
  <c r="F139" i="55"/>
  <c r="I197" i="55"/>
  <c r="F31" i="55"/>
  <c r="F88" i="55"/>
  <c r="F140" i="55"/>
  <c r="I198" i="55"/>
  <c r="G65" i="55"/>
  <c r="I200" i="55"/>
  <c r="F35" i="55"/>
  <c r="F92" i="55"/>
  <c r="F144" i="55"/>
  <c r="I203" i="55"/>
  <c r="F36" i="55"/>
  <c r="F93" i="55"/>
  <c r="F145" i="55"/>
  <c r="I204" i="55"/>
  <c r="F37" i="55"/>
  <c r="F94" i="55"/>
  <c r="F146" i="55"/>
  <c r="I205" i="55"/>
  <c r="F38" i="55"/>
  <c r="F95" i="55"/>
  <c r="F147" i="55"/>
  <c r="I206" i="55"/>
  <c r="F39" i="55"/>
  <c r="F96" i="55"/>
  <c r="F148" i="55"/>
  <c r="I207" i="55"/>
  <c r="F40" i="55"/>
  <c r="F97" i="55"/>
  <c r="F149" i="55"/>
  <c r="I208" i="55"/>
  <c r="F41" i="55"/>
  <c r="F98" i="55"/>
  <c r="F150" i="55"/>
  <c r="I209" i="55"/>
  <c r="F42" i="55"/>
  <c r="F99" i="55"/>
  <c r="F151" i="55"/>
  <c r="I210" i="55"/>
  <c r="F43" i="55"/>
  <c r="F100" i="55"/>
  <c r="F152" i="55"/>
  <c r="I211" i="55"/>
  <c r="F44" i="55"/>
  <c r="F101" i="55"/>
  <c r="F153" i="55"/>
  <c r="I212" i="55"/>
  <c r="F45" i="55"/>
  <c r="F102" i="55"/>
  <c r="F154" i="55"/>
  <c r="I213" i="55"/>
  <c r="F46" i="55"/>
  <c r="F103" i="55"/>
  <c r="F155" i="55"/>
  <c r="I214" i="55"/>
  <c r="F47" i="55"/>
  <c r="F104" i="55"/>
  <c r="F156" i="55"/>
  <c r="I215" i="55"/>
  <c r="F48" i="55"/>
  <c r="F105" i="55"/>
  <c r="F157" i="55"/>
  <c r="I216" i="55"/>
  <c r="F49" i="55"/>
  <c r="F106" i="55"/>
  <c r="F158" i="55"/>
  <c r="I217" i="55"/>
  <c r="F50" i="55"/>
  <c r="F107" i="55"/>
  <c r="F159" i="55"/>
  <c r="I218" i="55"/>
  <c r="F51" i="55"/>
  <c r="F108" i="55"/>
  <c r="F160" i="55"/>
  <c r="I219" i="55"/>
  <c r="F52" i="55"/>
  <c r="F109" i="55"/>
  <c r="F161" i="55"/>
  <c r="I220" i="55"/>
  <c r="F56" i="55"/>
  <c r="F113" i="55"/>
  <c r="F165" i="55"/>
  <c r="I224" i="55"/>
  <c r="F57" i="55"/>
  <c r="F114" i="55"/>
  <c r="F166" i="55"/>
  <c r="I225" i="55"/>
  <c r="F58" i="55"/>
  <c r="F115" i="55"/>
  <c r="F167" i="55"/>
  <c r="I226" i="55"/>
  <c r="F59" i="55"/>
  <c r="F116" i="55"/>
  <c r="F168" i="55"/>
  <c r="I227" i="55"/>
  <c r="F32" i="55"/>
  <c r="F89" i="55"/>
  <c r="F141" i="55"/>
  <c r="I199" i="55"/>
  <c r="F162" i="55"/>
  <c r="I221" i="55"/>
  <c r="F163" i="55"/>
  <c r="I222" i="55"/>
  <c r="F164" i="55"/>
  <c r="I223" i="55"/>
  <c r="I229" i="55"/>
  <c r="I285" i="55"/>
  <c r="H233" i="55"/>
  <c r="H234" i="55"/>
  <c r="H235" i="55"/>
  <c r="H236" i="55"/>
  <c r="H237" i="55"/>
  <c r="H238" i="55"/>
  <c r="H239" i="55"/>
  <c r="H240" i="55"/>
  <c r="H241" i="55"/>
  <c r="H242" i="55"/>
  <c r="H243" i="55"/>
  <c r="H244" i="55"/>
  <c r="H245" i="55"/>
  <c r="H246" i="55"/>
  <c r="H247" i="55"/>
  <c r="H248" i="55"/>
  <c r="H249" i="55"/>
  <c r="H250" i="55"/>
  <c r="H251" i="55"/>
  <c r="H252" i="55"/>
  <c r="H253" i="55"/>
  <c r="F33" i="55"/>
  <c r="F10" i="55"/>
  <c r="H282" i="55"/>
  <c r="H283" i="55"/>
  <c r="H284" i="55"/>
  <c r="H257" i="55"/>
  <c r="H258" i="55"/>
  <c r="H259" i="55"/>
  <c r="H260" i="55"/>
  <c r="H261" i="55"/>
  <c r="H262" i="55"/>
  <c r="H263" i="55"/>
  <c r="H264" i="55"/>
  <c r="H265" i="55"/>
  <c r="H266" i="55"/>
  <c r="H267" i="55"/>
  <c r="H268" i="55"/>
  <c r="H269" i="55"/>
  <c r="H270" i="55"/>
  <c r="H271" i="55"/>
  <c r="H272" i="55"/>
  <c r="H273" i="55"/>
  <c r="H274" i="55"/>
  <c r="H275" i="55"/>
  <c r="H276" i="55"/>
  <c r="H277" i="55"/>
  <c r="H278" i="55"/>
  <c r="H254" i="55"/>
  <c r="H255" i="55"/>
  <c r="H279" i="55"/>
  <c r="H280" i="55"/>
  <c r="I15" i="61"/>
  <c r="J6" i="61"/>
  <c r="I289" i="55"/>
  <c r="I290" i="55"/>
  <c r="I292" i="55"/>
  <c r="I294" i="55"/>
  <c r="I301" i="55"/>
  <c r="I302" i="55"/>
  <c r="I305" i="55"/>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56" i="55"/>
  <c r="E113" i="55"/>
  <c r="E165" i="55"/>
  <c r="H224" i="55"/>
  <c r="E57" i="55"/>
  <c r="E114" i="55"/>
  <c r="E166" i="55"/>
  <c r="H225" i="55"/>
  <c r="E58" i="55"/>
  <c r="E115" i="55"/>
  <c r="E167" i="55"/>
  <c r="H226" i="55"/>
  <c r="E59" i="55"/>
  <c r="E116" i="55"/>
  <c r="E168" i="55"/>
  <c r="H227" i="55"/>
  <c r="E32" i="55"/>
  <c r="E89" i="55"/>
  <c r="E141" i="55"/>
  <c r="H199" i="55"/>
  <c r="E162" i="55"/>
  <c r="H221" i="55"/>
  <c r="E163" i="55"/>
  <c r="H222" i="55"/>
  <c r="E164" i="55"/>
  <c r="H223" i="55"/>
  <c r="H229" i="55"/>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G257" i="55"/>
  <c r="G258" i="55"/>
  <c r="G259" i="55"/>
  <c r="G260" i="55"/>
  <c r="G261" i="55"/>
  <c r="G262" i="55"/>
  <c r="G263" i="55"/>
  <c r="G264" i="55"/>
  <c r="G265" i="55"/>
  <c r="G266" i="55"/>
  <c r="G267" i="55"/>
  <c r="G268" i="55"/>
  <c r="G269" i="55"/>
  <c r="G270" i="55"/>
  <c r="G271" i="55"/>
  <c r="G272" i="55"/>
  <c r="G273" i="55"/>
  <c r="G274" i="55"/>
  <c r="G275" i="55"/>
  <c r="G276" i="55"/>
  <c r="G277" i="55"/>
  <c r="G278" i="55"/>
  <c r="G254" i="55"/>
  <c r="G255" i="55"/>
  <c r="G279" i="55"/>
  <c r="G280" i="55"/>
  <c r="H15" i="61"/>
  <c r="I6" i="61"/>
  <c r="H289" i="55"/>
  <c r="H290" i="55"/>
  <c r="H292" i="55"/>
  <c r="H294" i="55"/>
  <c r="H301" i="55"/>
  <c r="H302" i="55"/>
  <c r="H305"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56" i="55"/>
  <c r="D113" i="55"/>
  <c r="D165" i="55"/>
  <c r="G224" i="55"/>
  <c r="D57" i="55"/>
  <c r="D114" i="55"/>
  <c r="D166" i="55"/>
  <c r="G225" i="55"/>
  <c r="D58" i="55"/>
  <c r="D115" i="55"/>
  <c r="D167" i="55"/>
  <c r="G226" i="55"/>
  <c r="D59" i="55"/>
  <c r="D116" i="55"/>
  <c r="D168" i="55"/>
  <c r="G227" i="55"/>
  <c r="D32" i="55"/>
  <c r="D89" i="55"/>
  <c r="D141" i="55"/>
  <c r="G199" i="55"/>
  <c r="D162" i="55"/>
  <c r="G221" i="55"/>
  <c r="D163" i="55"/>
  <c r="G222" i="55"/>
  <c r="D164" i="55"/>
  <c r="G223" i="55"/>
  <c r="G229" i="55"/>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7" i="55"/>
  <c r="F258" i="55"/>
  <c r="F259" i="55"/>
  <c r="F260" i="55"/>
  <c r="F261" i="55"/>
  <c r="F262" i="55"/>
  <c r="F263" i="55"/>
  <c r="F264" i="55"/>
  <c r="F265" i="55"/>
  <c r="F266" i="55"/>
  <c r="F267" i="55"/>
  <c r="F268" i="55"/>
  <c r="F269" i="55"/>
  <c r="F270" i="55"/>
  <c r="F271" i="55"/>
  <c r="F272" i="55"/>
  <c r="F273" i="55"/>
  <c r="F274" i="55"/>
  <c r="F275" i="55"/>
  <c r="F276" i="55"/>
  <c r="F277" i="55"/>
  <c r="F278" i="55"/>
  <c r="F254" i="55"/>
  <c r="F255" i="55"/>
  <c r="F279" i="55"/>
  <c r="F280" i="55"/>
  <c r="G15" i="61"/>
  <c r="H6" i="61"/>
  <c r="G289" i="55"/>
  <c r="G290" i="55"/>
  <c r="G292" i="55"/>
  <c r="G294" i="55"/>
  <c r="G301" i="55"/>
  <c r="G302" i="55"/>
  <c r="G305" i="55"/>
  <c r="C11"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56" i="55"/>
  <c r="C113" i="55"/>
  <c r="C165" i="55"/>
  <c r="F224" i="55"/>
  <c r="C57" i="55"/>
  <c r="C114" i="55"/>
  <c r="C166" i="55"/>
  <c r="F225" i="55"/>
  <c r="C58" i="55"/>
  <c r="C115" i="55"/>
  <c r="C167" i="55"/>
  <c r="F226" i="55"/>
  <c r="C59" i="55"/>
  <c r="C116" i="55"/>
  <c r="C168" i="55"/>
  <c r="F227" i="55"/>
  <c r="C32" i="55"/>
  <c r="C89" i="55"/>
  <c r="C141" i="55"/>
  <c r="F199" i="55"/>
  <c r="C162" i="55"/>
  <c r="F221" i="55"/>
  <c r="C163" i="55"/>
  <c r="F222" i="55"/>
  <c r="C164" i="55"/>
  <c r="F223" i="55"/>
  <c r="F229" i="55"/>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7" i="55"/>
  <c r="E258" i="55"/>
  <c r="E259" i="55"/>
  <c r="E260" i="55"/>
  <c r="E261" i="55"/>
  <c r="E262" i="55"/>
  <c r="E263" i="55"/>
  <c r="E264" i="55"/>
  <c r="E265" i="55"/>
  <c r="E266" i="55"/>
  <c r="E267" i="55"/>
  <c r="E268" i="55"/>
  <c r="E269" i="55"/>
  <c r="E270" i="55"/>
  <c r="E271" i="55"/>
  <c r="E272" i="55"/>
  <c r="E273" i="55"/>
  <c r="E274" i="55"/>
  <c r="E275" i="55"/>
  <c r="E276" i="55"/>
  <c r="E277" i="55"/>
  <c r="E278" i="55"/>
  <c r="E254" i="55"/>
  <c r="E255" i="55"/>
  <c r="E279" i="55"/>
  <c r="E280" i="55"/>
  <c r="F15" i="61"/>
  <c r="G6" i="61"/>
  <c r="F289" i="55"/>
  <c r="F290" i="55"/>
  <c r="F292" i="55"/>
  <c r="F294" i="55"/>
  <c r="F301" i="55"/>
  <c r="F302" i="55"/>
  <c r="F305" i="55"/>
  <c r="E178" i="55"/>
  <c r="E179" i="55"/>
  <c r="E180" i="55"/>
  <c r="E181" i="55"/>
  <c r="E182" i="55"/>
  <c r="E183" i="55"/>
  <c r="E184" i="55"/>
  <c r="E185" i="55"/>
  <c r="E186" i="55"/>
  <c r="E187" i="55"/>
  <c r="E188" i="55"/>
  <c r="E189" i="55"/>
  <c r="E190" i="55"/>
  <c r="E191" i="55"/>
  <c r="E192" i="55"/>
  <c r="E193" i="55"/>
  <c r="E194" i="55"/>
  <c r="E195" i="55"/>
  <c r="E196" i="55"/>
  <c r="E197" i="55"/>
  <c r="E198" i="55"/>
  <c r="C65" i="55"/>
  <c r="E200" i="55"/>
  <c r="E203" i="55"/>
  <c r="E204" i="55"/>
  <c r="E205" i="55"/>
  <c r="E206" i="55"/>
  <c r="E207" i="55"/>
  <c r="E208" i="55"/>
  <c r="E209" i="55"/>
  <c r="E210" i="55"/>
  <c r="E211" i="55"/>
  <c r="E212" i="55"/>
  <c r="E213" i="55"/>
  <c r="E214" i="55"/>
  <c r="E215" i="55"/>
  <c r="E216" i="55"/>
  <c r="E217" i="55"/>
  <c r="E218" i="55"/>
  <c r="E219" i="55"/>
  <c r="E220" i="55"/>
  <c r="E224" i="55"/>
  <c r="E225" i="55"/>
  <c r="E226" i="55"/>
  <c r="E227" i="55"/>
  <c r="E199" i="55"/>
  <c r="E221" i="55"/>
  <c r="E222" i="55"/>
  <c r="E223" i="55"/>
  <c r="E229" i="55"/>
  <c r="E285" i="55"/>
  <c r="D233" i="55"/>
  <c r="D234" i="55"/>
  <c r="D235" i="55"/>
  <c r="D236" i="55"/>
  <c r="D237" i="55"/>
  <c r="D238" i="55"/>
  <c r="D239" i="55"/>
  <c r="D240" i="55"/>
  <c r="D241" i="55"/>
  <c r="D242" i="55"/>
  <c r="D243" i="55"/>
  <c r="D244" i="55"/>
  <c r="D245" i="55"/>
  <c r="D246" i="55"/>
  <c r="D247" i="55"/>
  <c r="D248" i="55"/>
  <c r="D249" i="55"/>
  <c r="D250" i="55"/>
  <c r="D251" i="55"/>
  <c r="D252" i="55"/>
  <c r="D253" i="55"/>
  <c r="B10" i="55"/>
  <c r="D282" i="55"/>
  <c r="D283" i="55"/>
  <c r="D284" i="55"/>
  <c r="D257" i="55"/>
  <c r="D258" i="55"/>
  <c r="D259" i="55"/>
  <c r="D260" i="55"/>
  <c r="D261" i="55"/>
  <c r="D262" i="55"/>
  <c r="D263" i="55"/>
  <c r="D264" i="55"/>
  <c r="D265" i="55"/>
  <c r="D266" i="55"/>
  <c r="D267" i="55"/>
  <c r="D268" i="55"/>
  <c r="D269" i="55"/>
  <c r="D270" i="55"/>
  <c r="D271" i="55"/>
  <c r="D272" i="55"/>
  <c r="D273" i="55"/>
  <c r="D274" i="55"/>
  <c r="D275" i="55"/>
  <c r="D276" i="55"/>
  <c r="D277" i="55"/>
  <c r="D278" i="55"/>
  <c r="D254" i="55"/>
  <c r="D255" i="55"/>
  <c r="D279" i="55"/>
  <c r="D280" i="55"/>
  <c r="E15" i="61"/>
  <c r="F6" i="61"/>
  <c r="E289" i="55"/>
  <c r="E290" i="55"/>
  <c r="E292" i="55"/>
  <c r="E294" i="55"/>
  <c r="E301" i="55"/>
  <c r="E302" i="55"/>
  <c r="E305" i="55"/>
  <c r="D285" i="55"/>
  <c r="D290" i="55"/>
  <c r="D292" i="55"/>
  <c r="D294" i="55"/>
  <c r="D301" i="55"/>
  <c r="D302" i="55"/>
  <c r="D305" i="55"/>
  <c r="A280" i="55"/>
  <c r="A279" i="55"/>
  <c r="A59" i="55"/>
  <c r="A116" i="55"/>
  <c r="A168" i="55"/>
  <c r="A227" i="55"/>
  <c r="A278" i="55"/>
  <c r="A58" i="55"/>
  <c r="A115" i="55"/>
  <c r="A167" i="55"/>
  <c r="A226" i="55"/>
  <c r="A277" i="55"/>
  <c r="A57" i="55"/>
  <c r="A114" i="55"/>
  <c r="A166" i="55"/>
  <c r="A225" i="55"/>
  <c r="A276" i="55"/>
  <c r="A56" i="55"/>
  <c r="A113" i="55"/>
  <c r="A165" i="55"/>
  <c r="A224" i="55"/>
  <c r="A275" i="55"/>
  <c r="A52" i="55"/>
  <c r="A109" i="55"/>
  <c r="A161" i="55"/>
  <c r="A220" i="55"/>
  <c r="A274" i="55"/>
  <c r="A51" i="55"/>
  <c r="A108" i="55"/>
  <c r="A160" i="55"/>
  <c r="A219" i="55"/>
  <c r="A273" i="55"/>
  <c r="A50" i="55"/>
  <c r="A107" i="55"/>
  <c r="A159" i="55"/>
  <c r="A218" i="55"/>
  <c r="A272" i="55"/>
  <c r="A49" i="55"/>
  <c r="A106" i="55"/>
  <c r="A158" i="55"/>
  <c r="A217" i="55"/>
  <c r="A271" i="55"/>
  <c r="A48" i="55"/>
  <c r="A105" i="55"/>
  <c r="A157" i="55"/>
  <c r="A216" i="55"/>
  <c r="A270" i="55"/>
  <c r="A47" i="55"/>
  <c r="A104" i="55"/>
  <c r="A156" i="55"/>
  <c r="A215" i="55"/>
  <c r="A269" i="55"/>
  <c r="A46" i="55"/>
  <c r="A103" i="55"/>
  <c r="A155" i="55"/>
  <c r="A214" i="55"/>
  <c r="A268" i="55"/>
  <c r="A45" i="55"/>
  <c r="A102" i="55"/>
  <c r="A154" i="55"/>
  <c r="A213" i="55"/>
  <c r="A267" i="55"/>
  <c r="A44" i="55"/>
  <c r="A101" i="55"/>
  <c r="A153" i="55"/>
  <c r="A212" i="55"/>
  <c r="A266" i="55"/>
  <c r="A43" i="55"/>
  <c r="A100" i="55"/>
  <c r="A152" i="55"/>
  <c r="A211" i="55"/>
  <c r="A265" i="55"/>
  <c r="A42" i="55"/>
  <c r="A99" i="55"/>
  <c r="A151" i="55"/>
  <c r="A210" i="55"/>
  <c r="A264" i="55"/>
  <c r="A41" i="55"/>
  <c r="A98" i="55"/>
  <c r="A150" i="55"/>
  <c r="A209" i="55"/>
  <c r="A263" i="55"/>
  <c r="A40" i="55"/>
  <c r="A97" i="55"/>
  <c r="A149" i="55"/>
  <c r="A208" i="55"/>
  <c r="A262" i="55"/>
  <c r="A39" i="55"/>
  <c r="A96" i="55"/>
  <c r="A148" i="55"/>
  <c r="A207" i="55"/>
  <c r="A261" i="55"/>
  <c r="A38" i="55"/>
  <c r="A95" i="55"/>
  <c r="A147" i="55"/>
  <c r="A206" i="55"/>
  <c r="A260" i="55"/>
  <c r="A37" i="55"/>
  <c r="A94" i="55"/>
  <c r="A146" i="55"/>
  <c r="A205" i="55"/>
  <c r="A259" i="55"/>
  <c r="A36" i="55"/>
  <c r="A93" i="55"/>
  <c r="A145" i="55"/>
  <c r="A204" i="55"/>
  <c r="A258" i="55"/>
  <c r="A35" i="55"/>
  <c r="A92" i="55"/>
  <c r="A144" i="55"/>
  <c r="A203" i="55"/>
  <c r="A257" i="55"/>
  <c r="A34" i="55"/>
  <c r="A91" i="55"/>
  <c r="A143" i="55"/>
  <c r="A202" i="55"/>
  <c r="A256" i="55"/>
  <c r="A255" i="55"/>
  <c r="A254" i="55"/>
  <c r="A31" i="55"/>
  <c r="A88" i="55"/>
  <c r="A140" i="55"/>
  <c r="A198" i="55"/>
  <c r="A253" i="55"/>
  <c r="A30" i="55"/>
  <c r="A87" i="55"/>
  <c r="A139" i="55"/>
  <c r="A197" i="55"/>
  <c r="A252" i="55"/>
  <c r="A29" i="55"/>
  <c r="A86" i="55"/>
  <c r="A138" i="55"/>
  <c r="A196" i="55"/>
  <c r="A251" i="55"/>
  <c r="A28" i="55"/>
  <c r="A85" i="55"/>
  <c r="A137" i="55"/>
  <c r="A195" i="55"/>
  <c r="A250" i="55"/>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236" i="55"/>
  <c r="A235" i="55"/>
  <c r="A234" i="55"/>
  <c r="A233" i="55"/>
  <c r="A55" i="55"/>
  <c r="A112" i="55"/>
  <c r="A164" i="55"/>
  <c r="A223" i="55"/>
  <c r="A54" i="55"/>
  <c r="A111" i="55"/>
  <c r="A163" i="55"/>
  <c r="A222" i="55"/>
  <c r="A53" i="55"/>
  <c r="A110" i="55"/>
  <c r="A162" i="55"/>
  <c r="A221" i="55"/>
  <c r="A32" i="55"/>
  <c r="A89" i="55"/>
  <c r="A141" i="55"/>
  <c r="H61" i="55"/>
  <c r="G61" i="55"/>
  <c r="F61" i="55"/>
  <c r="E61" i="55"/>
  <c r="D61" i="55"/>
  <c r="C61" i="55"/>
  <c r="B61" i="55"/>
  <c r="B66" i="83"/>
  <c r="C66" i="83"/>
  <c r="D66" i="83"/>
  <c r="E66" i="83"/>
  <c r="F66" i="83"/>
  <c r="G66" i="83"/>
  <c r="H66" i="83"/>
  <c r="B65" i="83"/>
  <c r="C65" i="83"/>
  <c r="D65" i="83"/>
  <c r="E65" i="83"/>
  <c r="F65" i="83"/>
  <c r="G65" i="83"/>
  <c r="H65" i="83"/>
  <c r="B64" i="83"/>
  <c r="C64" i="83"/>
  <c r="D64" i="83"/>
  <c r="E64" i="83"/>
  <c r="F64" i="83"/>
  <c r="G64" i="83"/>
  <c r="H64" i="83"/>
  <c r="B109" i="81"/>
  <c r="C109" i="81"/>
  <c r="D109" i="81"/>
  <c r="E109" i="81"/>
  <c r="F109" i="81"/>
  <c r="G109" i="81"/>
  <c r="H109" i="81"/>
  <c r="B100" i="81"/>
  <c r="C100" i="81"/>
  <c r="D100" i="81"/>
  <c r="E100" i="81"/>
  <c r="F100" i="81"/>
  <c r="G100" i="81"/>
  <c r="H100" i="81"/>
  <c r="A100" i="81"/>
  <c r="B87" i="81"/>
  <c r="C87" i="81"/>
  <c r="D87" i="81"/>
  <c r="E87" i="81"/>
  <c r="F87" i="81"/>
  <c r="G87" i="81"/>
  <c r="H87" i="81"/>
  <c r="B86" i="81"/>
  <c r="C86" i="81"/>
  <c r="D86" i="81"/>
  <c r="E86" i="81"/>
  <c r="F86" i="81"/>
  <c r="G86" i="81"/>
  <c r="H86" i="81"/>
  <c r="K12" i="81"/>
  <c r="L12" i="81"/>
  <c r="M12" i="81"/>
  <c r="N12" i="81"/>
  <c r="N14" i="81"/>
  <c r="M14" i="81"/>
  <c r="L14" i="81"/>
  <c r="K14" i="81"/>
  <c r="J14" i="81"/>
  <c r="V12" i="81"/>
  <c r="W12" i="81"/>
  <c r="X12" i="81"/>
  <c r="P12" i="81"/>
  <c r="Q12" i="81"/>
  <c r="R12" i="81"/>
  <c r="S12" i="81"/>
  <c r="T12" i="81"/>
  <c r="H6" i="21"/>
  <c r="I170" i="29"/>
  <c r="H7" i="21"/>
  <c r="I171" i="29"/>
  <c r="H10" i="21"/>
  <c r="I174" i="29"/>
  <c r="H11" i="21"/>
  <c r="I175" i="29"/>
  <c r="H8" i="21"/>
  <c r="I172" i="29"/>
  <c r="H9" i="21"/>
  <c r="I173" i="29"/>
  <c r="I176" i="29"/>
  <c r="I177" i="29"/>
  <c r="H16" i="21"/>
  <c r="H17" i="21"/>
  <c r="H20" i="21"/>
  <c r="H21" i="21"/>
  <c r="H18" i="21"/>
  <c r="H19" i="21"/>
  <c r="H23" i="21"/>
  <c r="I180" i="29"/>
  <c r="H27" i="21"/>
  <c r="F4" i="22"/>
  <c r="G4" i="22"/>
  <c r="H4" i="22"/>
  <c r="I4" i="22"/>
  <c r="J4" i="22"/>
  <c r="K4" i="22"/>
  <c r="K8" i="22"/>
  <c r="K9" i="22"/>
  <c r="K10" i="22"/>
  <c r="K16" i="22"/>
  <c r="K14" i="22"/>
  <c r="K15" i="22"/>
  <c r="K11" i="22"/>
  <c r="K12" i="22"/>
  <c r="K13" i="22"/>
  <c r="K17" i="22"/>
  <c r="K18" i="22"/>
  <c r="K19" i="22"/>
  <c r="K20" i="22"/>
  <c r="K21" i="22"/>
  <c r="K22" i="22"/>
  <c r="K23" i="22"/>
  <c r="H33" i="21"/>
  <c r="H28" i="21"/>
  <c r="H26" i="21"/>
  <c r="H29" i="21"/>
  <c r="H30" i="21"/>
  <c r="H31" i="21"/>
  <c r="H34" i="21"/>
  <c r="I179" i="29"/>
  <c r="I181" i="29"/>
  <c r="I182" i="29"/>
  <c r="G6" i="21"/>
  <c r="H170" i="29"/>
  <c r="G7" i="21"/>
  <c r="H171" i="29"/>
  <c r="G10" i="21"/>
  <c r="H174" i="29"/>
  <c r="G11" i="21"/>
  <c r="H175" i="29"/>
  <c r="G8" i="21"/>
  <c r="H172" i="29"/>
  <c r="G9" i="21"/>
  <c r="H173" i="29"/>
  <c r="H176" i="29"/>
  <c r="H177" i="29"/>
  <c r="G16" i="21"/>
  <c r="G17" i="21"/>
  <c r="G20" i="21"/>
  <c r="G21" i="21"/>
  <c r="G18" i="21"/>
  <c r="G19" i="21"/>
  <c r="G23" i="21"/>
  <c r="H180" i="29"/>
  <c r="G27" i="21"/>
  <c r="J8" i="22"/>
  <c r="J9" i="22"/>
  <c r="J10" i="22"/>
  <c r="J16" i="22"/>
  <c r="J14" i="22"/>
  <c r="J15" i="22"/>
  <c r="J11" i="22"/>
  <c r="J12" i="22"/>
  <c r="J13" i="22"/>
  <c r="J17" i="22"/>
  <c r="J18" i="22"/>
  <c r="J19" i="22"/>
  <c r="J20" i="22"/>
  <c r="J21" i="22"/>
  <c r="J22" i="22"/>
  <c r="J23" i="22"/>
  <c r="G33" i="21"/>
  <c r="G28" i="21"/>
  <c r="G26" i="21"/>
  <c r="G29" i="21"/>
  <c r="G30" i="21"/>
  <c r="G31" i="21"/>
  <c r="G34" i="21"/>
  <c r="H179" i="29"/>
  <c r="H181" i="29"/>
  <c r="H182" i="29"/>
  <c r="F6" i="21"/>
  <c r="G170" i="29"/>
  <c r="F7" i="21"/>
  <c r="G171" i="29"/>
  <c r="F10" i="21"/>
  <c r="G174" i="29"/>
  <c r="F11" i="21"/>
  <c r="G175" i="29"/>
  <c r="F8" i="21"/>
  <c r="G172" i="29"/>
  <c r="F9" i="21"/>
  <c r="G173" i="29"/>
  <c r="G176" i="29"/>
  <c r="G177" i="29"/>
  <c r="F16" i="21"/>
  <c r="F17" i="21"/>
  <c r="F20" i="21"/>
  <c r="F21" i="21"/>
  <c r="F18" i="21"/>
  <c r="F19" i="21"/>
  <c r="F23" i="21"/>
  <c r="G180" i="29"/>
  <c r="F27" i="21"/>
  <c r="I8" i="22"/>
  <c r="I9" i="22"/>
  <c r="I10" i="22"/>
  <c r="I16" i="22"/>
  <c r="I14" i="22"/>
  <c r="I15" i="22"/>
  <c r="I11" i="22"/>
  <c r="I12" i="22"/>
  <c r="I13" i="22"/>
  <c r="I17" i="22"/>
  <c r="I18" i="22"/>
  <c r="I19" i="22"/>
  <c r="I20" i="22"/>
  <c r="I21" i="22"/>
  <c r="I22" i="22"/>
  <c r="I23" i="22"/>
  <c r="F33" i="21"/>
  <c r="F28" i="21"/>
  <c r="F26" i="21"/>
  <c r="F29" i="21"/>
  <c r="F30" i="21"/>
  <c r="F31" i="21"/>
  <c r="F34" i="21"/>
  <c r="G179" i="29"/>
  <c r="G181" i="29"/>
  <c r="G182" i="29"/>
  <c r="E6" i="21"/>
  <c r="F170" i="29"/>
  <c r="E7" i="21"/>
  <c r="F171" i="29"/>
  <c r="E10" i="21"/>
  <c r="F174" i="29"/>
  <c r="E11" i="21"/>
  <c r="F175" i="29"/>
  <c r="E8" i="21"/>
  <c r="F172" i="29"/>
  <c r="E9" i="21"/>
  <c r="F173" i="29"/>
  <c r="F176" i="29"/>
  <c r="F177" i="29"/>
  <c r="E16" i="21"/>
  <c r="E17" i="21"/>
  <c r="E20" i="21"/>
  <c r="E21" i="21"/>
  <c r="E18" i="21"/>
  <c r="E19" i="21"/>
  <c r="E23" i="21"/>
  <c r="F180" i="29"/>
  <c r="E27" i="21"/>
  <c r="H8" i="22"/>
  <c r="H9" i="22"/>
  <c r="H10" i="22"/>
  <c r="H16" i="22"/>
  <c r="H14" i="22"/>
  <c r="H15" i="22"/>
  <c r="H11" i="22"/>
  <c r="H12" i="22"/>
  <c r="H13" i="22"/>
  <c r="H17" i="22"/>
  <c r="H18" i="22"/>
  <c r="H19" i="22"/>
  <c r="H20" i="22"/>
  <c r="H21" i="22"/>
  <c r="H22" i="22"/>
  <c r="H23" i="22"/>
  <c r="E33" i="21"/>
  <c r="E28" i="21"/>
  <c r="E26" i="21"/>
  <c r="E29" i="21"/>
  <c r="E30" i="21"/>
  <c r="E31" i="21"/>
  <c r="E34" i="21"/>
  <c r="F179" i="29"/>
  <c r="F181" i="29"/>
  <c r="F182" i="29"/>
  <c r="D6" i="21"/>
  <c r="E170" i="29"/>
  <c r="D7" i="21"/>
  <c r="E171" i="29"/>
  <c r="D10" i="21"/>
  <c r="E174" i="29"/>
  <c r="D11" i="21"/>
  <c r="E175" i="29"/>
  <c r="D8" i="21"/>
  <c r="E172" i="29"/>
  <c r="D9" i="21"/>
  <c r="E173" i="29"/>
  <c r="E176" i="29"/>
  <c r="E177" i="29"/>
  <c r="D16" i="21"/>
  <c r="D17" i="21"/>
  <c r="D20" i="21"/>
  <c r="D21" i="21"/>
  <c r="D18" i="21"/>
  <c r="D19" i="21"/>
  <c r="D23" i="21"/>
  <c r="E180" i="29"/>
  <c r="D27" i="21"/>
  <c r="G8" i="22"/>
  <c r="G9" i="22"/>
  <c r="G10" i="22"/>
  <c r="G16" i="22"/>
  <c r="G14" i="22"/>
  <c r="G15" i="22"/>
  <c r="G11" i="22"/>
  <c r="G12" i="22"/>
  <c r="G13" i="22"/>
  <c r="G17" i="22"/>
  <c r="G18" i="22"/>
  <c r="G19" i="22"/>
  <c r="G20" i="22"/>
  <c r="G21" i="22"/>
  <c r="G22" i="22"/>
  <c r="G23" i="22"/>
  <c r="D33" i="21"/>
  <c r="D28" i="21"/>
  <c r="D26" i="21"/>
  <c r="D29" i="21"/>
  <c r="D30" i="21"/>
  <c r="D31" i="21"/>
  <c r="D34" i="21"/>
  <c r="E179" i="29"/>
  <c r="E181" i="29"/>
  <c r="E182" i="29"/>
  <c r="C6" i="21"/>
  <c r="D170" i="29"/>
  <c r="C7" i="21"/>
  <c r="D171" i="29"/>
  <c r="C10" i="21"/>
  <c r="D174" i="29"/>
  <c r="C11" i="21"/>
  <c r="D175" i="29"/>
  <c r="C8" i="21"/>
  <c r="D172" i="29"/>
  <c r="C9" i="21"/>
  <c r="D173" i="29"/>
  <c r="D176" i="29"/>
  <c r="D177" i="29"/>
  <c r="C16" i="21"/>
  <c r="C17" i="21"/>
  <c r="C20" i="21"/>
  <c r="C21" i="21"/>
  <c r="C18" i="21"/>
  <c r="C19" i="21"/>
  <c r="C23" i="21"/>
  <c r="D180" i="29"/>
  <c r="C27" i="21"/>
  <c r="F8" i="22"/>
  <c r="F9" i="22"/>
  <c r="F10" i="22"/>
  <c r="F16" i="22"/>
  <c r="F14" i="22"/>
  <c r="F15" i="22"/>
  <c r="F11" i="22"/>
  <c r="F12" i="22"/>
  <c r="F13" i="22"/>
  <c r="F17" i="22"/>
  <c r="F18" i="22"/>
  <c r="F19" i="22"/>
  <c r="F20" i="22"/>
  <c r="F21" i="22"/>
  <c r="F22" i="22"/>
  <c r="F23" i="22"/>
  <c r="C33" i="21"/>
  <c r="C28" i="21"/>
  <c r="C26" i="21"/>
  <c r="C29" i="21"/>
  <c r="C30" i="21"/>
  <c r="C31" i="21"/>
  <c r="C34" i="21"/>
  <c r="D179" i="29"/>
  <c r="D181" i="29"/>
  <c r="D182" i="29"/>
  <c r="C170" i="29"/>
  <c r="B7" i="21"/>
  <c r="C171" i="29"/>
  <c r="B10" i="21"/>
  <c r="C174" i="29"/>
  <c r="B11" i="21"/>
  <c r="C175" i="29"/>
  <c r="B8" i="21"/>
  <c r="C172" i="29"/>
  <c r="B9" i="21"/>
  <c r="C173" i="29"/>
  <c r="C176" i="29"/>
  <c r="C177" i="29"/>
  <c r="B16" i="21"/>
  <c r="B17" i="21"/>
  <c r="B20" i="21"/>
  <c r="B21" i="21"/>
  <c r="B18" i="21"/>
  <c r="B19" i="21"/>
  <c r="B23" i="21"/>
  <c r="C180" i="29"/>
  <c r="B27" i="21"/>
  <c r="E8" i="22"/>
  <c r="E9" i="22"/>
  <c r="E10" i="22"/>
  <c r="E16" i="22"/>
  <c r="E14" i="22"/>
  <c r="E15" i="22"/>
  <c r="E11" i="22"/>
  <c r="E12" i="22"/>
  <c r="E13" i="22"/>
  <c r="E17" i="22"/>
  <c r="E18" i="22"/>
  <c r="E19" i="22"/>
  <c r="E20" i="22"/>
  <c r="E21" i="22"/>
  <c r="E22" i="22"/>
  <c r="E23" i="22"/>
  <c r="B33" i="21"/>
  <c r="B28" i="21"/>
  <c r="B26" i="21"/>
  <c r="B29" i="21"/>
  <c r="B30" i="21"/>
  <c r="B31" i="21"/>
  <c r="B34" i="21"/>
  <c r="C179" i="29"/>
  <c r="C181" i="29"/>
  <c r="C182" i="29"/>
  <c r="B131" i="29"/>
  <c r="B146" i="29"/>
  <c r="B161" i="29"/>
  <c r="B176" i="29"/>
  <c r="B130" i="29"/>
  <c r="B145" i="29"/>
  <c r="B160" i="29"/>
  <c r="B175" i="29"/>
  <c r="B129" i="29"/>
  <c r="B144" i="29"/>
  <c r="B159" i="29"/>
  <c r="B174" i="29"/>
  <c r="B128" i="29"/>
  <c r="B143" i="29"/>
  <c r="B158" i="29"/>
  <c r="B173" i="29"/>
  <c r="B127" i="29"/>
  <c r="B142" i="29"/>
  <c r="B157" i="29"/>
  <c r="B172" i="29"/>
  <c r="B126" i="29"/>
  <c r="B141" i="29"/>
  <c r="B156" i="29"/>
  <c r="B171" i="29"/>
  <c r="B125" i="29"/>
  <c r="B140" i="29"/>
  <c r="B155" i="29"/>
  <c r="B170" i="29"/>
  <c r="I155" i="29"/>
  <c r="I156" i="29"/>
  <c r="I159" i="29"/>
  <c r="I160" i="29"/>
  <c r="I157" i="29"/>
  <c r="I158" i="29"/>
  <c r="I161" i="29"/>
  <c r="I162" i="29"/>
  <c r="I165" i="29"/>
  <c r="I164" i="29"/>
  <c r="I166" i="29"/>
  <c r="I167" i="29"/>
  <c r="H155" i="29"/>
  <c r="H156" i="29"/>
  <c r="H159" i="29"/>
  <c r="H160" i="29"/>
  <c r="H157" i="29"/>
  <c r="H158" i="29"/>
  <c r="H161" i="29"/>
  <c r="H162" i="29"/>
  <c r="H165" i="29"/>
  <c r="H164" i="29"/>
  <c r="H166" i="29"/>
  <c r="H167" i="29"/>
  <c r="G155" i="29"/>
  <c r="G156" i="29"/>
  <c r="G159" i="29"/>
  <c r="G160" i="29"/>
  <c r="G157" i="29"/>
  <c r="G158" i="29"/>
  <c r="G161" i="29"/>
  <c r="G162" i="29"/>
  <c r="G165" i="29"/>
  <c r="G164" i="29"/>
  <c r="G166" i="29"/>
  <c r="G167" i="29"/>
  <c r="F155" i="29"/>
  <c r="F156" i="29"/>
  <c r="F159" i="29"/>
  <c r="F160" i="29"/>
  <c r="F157" i="29"/>
  <c r="F158" i="29"/>
  <c r="F161" i="29"/>
  <c r="F162" i="29"/>
  <c r="F165" i="29"/>
  <c r="F164" i="29"/>
  <c r="F166" i="29"/>
  <c r="F167" i="29"/>
  <c r="E155" i="29"/>
  <c r="E156" i="29"/>
  <c r="E159" i="29"/>
  <c r="E160" i="29"/>
  <c r="E157" i="29"/>
  <c r="E158" i="29"/>
  <c r="E161" i="29"/>
  <c r="E162" i="29"/>
  <c r="E165" i="29"/>
  <c r="E164" i="29"/>
  <c r="E166" i="29"/>
  <c r="E167" i="29"/>
  <c r="D155" i="29"/>
  <c r="D156" i="29"/>
  <c r="D159" i="29"/>
  <c r="D160" i="29"/>
  <c r="D157" i="29"/>
  <c r="D158" i="29"/>
  <c r="D161" i="29"/>
  <c r="D162" i="29"/>
  <c r="D165" i="29"/>
  <c r="D164" i="29"/>
  <c r="D166" i="29"/>
  <c r="D167" i="29"/>
  <c r="C155" i="29"/>
  <c r="C156" i="29"/>
  <c r="C159" i="29"/>
  <c r="C160" i="29"/>
  <c r="C157" i="29"/>
  <c r="C158" i="29"/>
  <c r="C161" i="29"/>
  <c r="C162" i="29"/>
  <c r="C165" i="29"/>
  <c r="C164" i="29"/>
  <c r="C166" i="29"/>
  <c r="C167" i="29"/>
  <c r="I140" i="29"/>
  <c r="I141" i="29"/>
  <c r="I144" i="29"/>
  <c r="I145" i="29"/>
  <c r="I142" i="29"/>
  <c r="I143" i="29"/>
  <c r="I146" i="29"/>
  <c r="I147" i="29"/>
  <c r="I150" i="29"/>
  <c r="I149" i="29"/>
  <c r="I151" i="29"/>
  <c r="I152" i="29"/>
  <c r="H140" i="29"/>
  <c r="H141" i="29"/>
  <c r="H144" i="29"/>
  <c r="H145" i="29"/>
  <c r="H142" i="29"/>
  <c r="H143" i="29"/>
  <c r="H146" i="29"/>
  <c r="H147" i="29"/>
  <c r="H150" i="29"/>
  <c r="H149" i="29"/>
  <c r="H151" i="29"/>
  <c r="H152" i="29"/>
  <c r="G140" i="29"/>
  <c r="G141" i="29"/>
  <c r="G144" i="29"/>
  <c r="G145" i="29"/>
  <c r="G142" i="29"/>
  <c r="G143" i="29"/>
  <c r="G146" i="29"/>
  <c r="G147" i="29"/>
  <c r="G150" i="29"/>
  <c r="G149" i="29"/>
  <c r="G151" i="29"/>
  <c r="G152" i="29"/>
  <c r="F140" i="29"/>
  <c r="F141" i="29"/>
  <c r="F144" i="29"/>
  <c r="F145" i="29"/>
  <c r="F142" i="29"/>
  <c r="F143" i="29"/>
  <c r="F146" i="29"/>
  <c r="F147" i="29"/>
  <c r="F150" i="29"/>
  <c r="F149" i="29"/>
  <c r="F151" i="29"/>
  <c r="F152" i="29"/>
  <c r="E140" i="29"/>
  <c r="E141" i="29"/>
  <c r="E144" i="29"/>
  <c r="E145" i="29"/>
  <c r="E142" i="29"/>
  <c r="E143" i="29"/>
  <c r="E146" i="29"/>
  <c r="E147" i="29"/>
  <c r="E150" i="29"/>
  <c r="E149" i="29"/>
  <c r="E151" i="29"/>
  <c r="E152" i="29"/>
  <c r="D140" i="29"/>
  <c r="D141" i="29"/>
  <c r="D144" i="29"/>
  <c r="D145" i="29"/>
  <c r="D142" i="29"/>
  <c r="D143" i="29"/>
  <c r="D146" i="29"/>
  <c r="D147" i="29"/>
  <c r="D150" i="29"/>
  <c r="D149" i="29"/>
  <c r="D151" i="29"/>
  <c r="D152" i="29"/>
  <c r="C140" i="29"/>
  <c r="C141" i="29"/>
  <c r="C144" i="29"/>
  <c r="C145" i="29"/>
  <c r="C142" i="29"/>
  <c r="C143" i="29"/>
  <c r="C146" i="29"/>
  <c r="C147" i="29"/>
  <c r="C150" i="29"/>
  <c r="C149" i="29"/>
  <c r="C151" i="29"/>
  <c r="C152" i="29"/>
  <c r="I125" i="29"/>
  <c r="I126" i="29"/>
  <c r="I129" i="29"/>
  <c r="I130" i="29"/>
  <c r="I127" i="29"/>
  <c r="I128" i="29"/>
  <c r="I131" i="29"/>
  <c r="I132" i="29"/>
  <c r="I135" i="29"/>
  <c r="I134" i="29"/>
  <c r="I136" i="29"/>
  <c r="I137" i="29"/>
  <c r="H125" i="29"/>
  <c r="H126" i="29"/>
  <c r="H129" i="29"/>
  <c r="H130" i="29"/>
  <c r="H127" i="29"/>
  <c r="H128" i="29"/>
  <c r="H131" i="29"/>
  <c r="H132" i="29"/>
  <c r="H135" i="29"/>
  <c r="H134" i="29"/>
  <c r="H136" i="29"/>
  <c r="H137" i="29"/>
  <c r="G125" i="29"/>
  <c r="G126" i="29"/>
  <c r="G129" i="29"/>
  <c r="G130" i="29"/>
  <c r="G127" i="29"/>
  <c r="G128" i="29"/>
  <c r="G131" i="29"/>
  <c r="G132" i="29"/>
  <c r="G135" i="29"/>
  <c r="G134" i="29"/>
  <c r="G136" i="29"/>
  <c r="G137" i="29"/>
  <c r="F125" i="29"/>
  <c r="F126" i="29"/>
  <c r="F129" i="29"/>
  <c r="F130" i="29"/>
  <c r="F127" i="29"/>
  <c r="F128" i="29"/>
  <c r="F131" i="29"/>
  <c r="F132" i="29"/>
  <c r="F135" i="29"/>
  <c r="F134" i="29"/>
  <c r="F136" i="29"/>
  <c r="F137" i="29"/>
  <c r="E125" i="29"/>
  <c r="E126" i="29"/>
  <c r="E129" i="29"/>
  <c r="E130" i="29"/>
  <c r="E127" i="29"/>
  <c r="E128" i="29"/>
  <c r="E131" i="29"/>
  <c r="E132" i="29"/>
  <c r="E135" i="29"/>
  <c r="E134" i="29"/>
  <c r="E136" i="29"/>
  <c r="E137" i="29"/>
  <c r="D125" i="29"/>
  <c r="D126" i="29"/>
  <c r="D129" i="29"/>
  <c r="D130" i="29"/>
  <c r="D127" i="29"/>
  <c r="D128" i="29"/>
  <c r="D131" i="29"/>
  <c r="D132" i="29"/>
  <c r="D135" i="29"/>
  <c r="D134" i="29"/>
  <c r="D136" i="29"/>
  <c r="D137" i="29"/>
  <c r="C125" i="29"/>
  <c r="C126" i="29"/>
  <c r="C129" i="29"/>
  <c r="C130" i="29"/>
  <c r="C127" i="29"/>
  <c r="C128" i="29"/>
  <c r="C131" i="29"/>
  <c r="C132" i="29"/>
  <c r="C135" i="29"/>
  <c r="C134" i="29"/>
  <c r="C136" i="29"/>
  <c r="C137" i="29"/>
  <c r="C37" i="22"/>
  <c r="C38" i="22"/>
  <c r="C43" i="22"/>
  <c r="C44" i="22"/>
  <c r="C55" i="22"/>
  <c r="C56" i="22"/>
  <c r="C49" i="22"/>
  <c r="C50" i="22"/>
  <c r="C61" i="22"/>
  <c r="C62" i="22"/>
  <c r="C66" i="22"/>
  <c r="B40" i="21"/>
  <c r="C110" i="29"/>
  <c r="C26" i="68"/>
  <c r="C112" i="29"/>
  <c r="D120" i="57"/>
  <c r="D11" i="62"/>
  <c r="C86" i="22"/>
  <c r="B41" i="21"/>
  <c r="C111" i="29"/>
  <c r="B13" i="21"/>
  <c r="B36" i="21"/>
  <c r="B38" i="21"/>
  <c r="C109" i="29"/>
  <c r="C113" i="29"/>
  <c r="C25" i="68"/>
  <c r="C115" i="29"/>
  <c r="C117" i="29"/>
  <c r="D38" i="22"/>
  <c r="D44" i="22"/>
  <c r="D56" i="22"/>
  <c r="D50" i="22"/>
  <c r="D62" i="22"/>
  <c r="D66" i="22"/>
  <c r="C40" i="21"/>
  <c r="D110" i="29"/>
  <c r="D26" i="68"/>
  <c r="D112" i="29"/>
  <c r="D86" i="22"/>
  <c r="C41" i="21"/>
  <c r="D111" i="29"/>
  <c r="C13" i="21"/>
  <c r="C36" i="21"/>
  <c r="C38" i="21"/>
  <c r="D109" i="29"/>
  <c r="D113" i="29"/>
  <c r="D25" i="68"/>
  <c r="D115" i="29"/>
  <c r="D117" i="29"/>
  <c r="E38" i="22"/>
  <c r="E44" i="22"/>
  <c r="E56" i="22"/>
  <c r="E50" i="22"/>
  <c r="E62" i="22"/>
  <c r="E66" i="22"/>
  <c r="D40" i="21"/>
  <c r="E110" i="29"/>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E112" i="29"/>
  <c r="E86" i="22"/>
  <c r="D41" i="21"/>
  <c r="E111" i="29"/>
  <c r="D13" i="21"/>
  <c r="D36" i="21"/>
  <c r="D38" i="21"/>
  <c r="E109" i="29"/>
  <c r="E113" i="29"/>
  <c r="F45" i="23"/>
  <c r="E45" i="23"/>
  <c r="E25" i="68"/>
  <c r="E115" i="29"/>
  <c r="E117" i="29"/>
  <c r="F38" i="22"/>
  <c r="F44" i="22"/>
  <c r="F56" i="22"/>
  <c r="F50" i="22"/>
  <c r="F62" i="22"/>
  <c r="F66" i="22"/>
  <c r="E40" i="21"/>
  <c r="F110" i="29"/>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F112" i="29"/>
  <c r="F86" i="22"/>
  <c r="E41" i="21"/>
  <c r="F111" i="29"/>
  <c r="E13" i="21"/>
  <c r="E36" i="21"/>
  <c r="E38" i="21"/>
  <c r="F109" i="29"/>
  <c r="F113" i="29"/>
  <c r="F57" i="23"/>
  <c r="E57" i="23"/>
  <c r="F25" i="68"/>
  <c r="F115" i="29"/>
  <c r="F117" i="29"/>
  <c r="G38" i="22"/>
  <c r="G44" i="22"/>
  <c r="G56" i="22"/>
  <c r="G50" i="22"/>
  <c r="G62" i="22"/>
  <c r="G66" i="22"/>
  <c r="F40" i="21"/>
  <c r="G110" i="29"/>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G112" i="29"/>
  <c r="G86" i="22"/>
  <c r="F41" i="21"/>
  <c r="G111" i="29"/>
  <c r="F13" i="21"/>
  <c r="F36" i="21"/>
  <c r="F38" i="21"/>
  <c r="G109" i="29"/>
  <c r="G113" i="29"/>
  <c r="F69" i="23"/>
  <c r="E69" i="23"/>
  <c r="G25" i="68"/>
  <c r="G115" i="29"/>
  <c r="G117" i="29"/>
  <c r="H38" i="22"/>
  <c r="H44" i="22"/>
  <c r="H56" i="22"/>
  <c r="H50" i="22"/>
  <c r="H62" i="22"/>
  <c r="H66" i="22"/>
  <c r="G40" i="21"/>
  <c r="H110" i="29"/>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H112" i="29"/>
  <c r="G13" i="21"/>
  <c r="G36" i="21"/>
  <c r="G38" i="21"/>
  <c r="H109" i="29"/>
  <c r="G41" i="21"/>
  <c r="H111" i="29"/>
  <c r="H113" i="29"/>
  <c r="F81" i="23"/>
  <c r="E81" i="23"/>
  <c r="H25" i="68"/>
  <c r="H115" i="29"/>
  <c r="H117" i="29"/>
  <c r="I38" i="22"/>
  <c r="I44" i="22"/>
  <c r="I56" i="22"/>
  <c r="I50" i="22"/>
  <c r="I62" i="22"/>
  <c r="I66" i="22"/>
  <c r="H40" i="21"/>
  <c r="I110" i="29"/>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I112" i="29"/>
  <c r="H13" i="21"/>
  <c r="H36" i="21"/>
  <c r="H38" i="21"/>
  <c r="I109" i="29"/>
  <c r="H41" i="21"/>
  <c r="I111" i="29"/>
  <c r="I113" i="29"/>
  <c r="F93" i="23"/>
  <c r="E93" i="23"/>
  <c r="I25" i="68"/>
  <c r="I115" i="29"/>
  <c r="I117" i="29"/>
  <c r="C119" i="29"/>
  <c r="B43" i="21"/>
  <c r="E29" i="61"/>
  <c r="E31" i="61"/>
  <c r="E32" i="61"/>
  <c r="E34" i="61"/>
  <c r="E33" i="61"/>
  <c r="E30" i="61"/>
  <c r="E36" i="61"/>
  <c r="E17" i="61"/>
  <c r="E20" i="61"/>
  <c r="E37" i="61"/>
  <c r="E39" i="61"/>
  <c r="E42" i="61"/>
  <c r="E44" i="61"/>
  <c r="E45" i="61"/>
  <c r="E47" i="61"/>
  <c r="E46" i="61"/>
  <c r="E43" i="61"/>
  <c r="E49" i="61"/>
  <c r="E50" i="61"/>
  <c r="C11" i="68"/>
  <c r="C27" i="68"/>
  <c r="C28" i="68"/>
  <c r="B45" i="21"/>
  <c r="B47" i="21"/>
  <c r="B95" i="22"/>
  <c r="B96" i="22"/>
  <c r="K37" i="22"/>
  <c r="K38" i="22"/>
  <c r="K43" i="22"/>
  <c r="K44" i="22"/>
  <c r="K55" i="22"/>
  <c r="K56" i="22"/>
  <c r="K49" i="22"/>
  <c r="K50" i="22"/>
  <c r="K61" i="22"/>
  <c r="K62" i="22"/>
  <c r="K66" i="22"/>
  <c r="B97" i="22"/>
  <c r="B98" i="22"/>
  <c r="B99" i="22"/>
  <c r="B48" i="21"/>
  <c r="B49" i="21"/>
  <c r="D95" i="29"/>
  <c r="D96" i="29"/>
  <c r="D97" i="29"/>
  <c r="D98" i="29"/>
  <c r="E51" i="61"/>
  <c r="D12" i="62"/>
  <c r="D13" i="62"/>
  <c r="C94" i="29"/>
  <c r="D99" i="29"/>
  <c r="C43" i="21"/>
  <c r="F29" i="61"/>
  <c r="F31" i="61"/>
  <c r="F32" i="61"/>
  <c r="F34" i="61"/>
  <c r="F33" i="61"/>
  <c r="F30" i="61"/>
  <c r="F36" i="61"/>
  <c r="F17" i="61"/>
  <c r="F20" i="61"/>
  <c r="F37" i="61"/>
  <c r="F39" i="61"/>
  <c r="F42" i="61"/>
  <c r="F44" i="61"/>
  <c r="F45" i="61"/>
  <c r="F47" i="61"/>
  <c r="F46" i="61"/>
  <c r="F43" i="61"/>
  <c r="F49" i="61"/>
  <c r="F50" i="61"/>
  <c r="D11" i="68"/>
  <c r="D27" i="68"/>
  <c r="D28" i="68"/>
  <c r="C45" i="21"/>
  <c r="C47" i="21"/>
  <c r="C95" i="22"/>
  <c r="C96" i="22"/>
  <c r="K40" i="22"/>
  <c r="L37" i="22"/>
  <c r="L38" i="22"/>
  <c r="K46" i="22"/>
  <c r="L43" i="22"/>
  <c r="L44" i="22"/>
  <c r="K58" i="22"/>
  <c r="L55" i="22"/>
  <c r="L56" i="22"/>
  <c r="K52" i="22"/>
  <c r="L49" i="22"/>
  <c r="L50" i="22"/>
  <c r="K64" i="22"/>
  <c r="L61" i="22"/>
  <c r="L62" i="22"/>
  <c r="L66" i="22"/>
  <c r="C97" i="22"/>
  <c r="C98" i="22"/>
  <c r="C99" i="22"/>
  <c r="C48" i="21"/>
  <c r="C49" i="21"/>
  <c r="E95" i="29"/>
  <c r="E96" i="29"/>
  <c r="E97" i="29"/>
  <c r="E98" i="29"/>
  <c r="E99" i="29"/>
  <c r="D43" i="21"/>
  <c r="G29" i="61"/>
  <c r="G31" i="61"/>
  <c r="G32" i="61"/>
  <c r="G34" i="61"/>
  <c r="G33" i="61"/>
  <c r="G30" i="61"/>
  <c r="G36" i="61"/>
  <c r="G17" i="61"/>
  <c r="G20" i="61"/>
  <c r="G37" i="61"/>
  <c r="G39" i="61"/>
  <c r="G42" i="61"/>
  <c r="G44" i="61"/>
  <c r="G45" i="61"/>
  <c r="G47" i="61"/>
  <c r="G46" i="61"/>
  <c r="G43" i="61"/>
  <c r="G49" i="61"/>
  <c r="G50" i="61"/>
  <c r="E11" i="68"/>
  <c r="E27" i="68"/>
  <c r="E28" i="68"/>
  <c r="D45" i="21"/>
  <c r="D47" i="21"/>
  <c r="D95" i="22"/>
  <c r="D96" i="22"/>
  <c r="L40" i="22"/>
  <c r="M37" i="22"/>
  <c r="M38" i="22"/>
  <c r="L46" i="22"/>
  <c r="M43" i="22"/>
  <c r="M44" i="22"/>
  <c r="L58" i="22"/>
  <c r="M55" i="22"/>
  <c r="M56" i="22"/>
  <c r="L52" i="22"/>
  <c r="M49" i="22"/>
  <c r="M50" i="22"/>
  <c r="L64" i="22"/>
  <c r="M61" i="22"/>
  <c r="M62" i="22"/>
  <c r="M66" i="22"/>
  <c r="D97" i="22"/>
  <c r="D98" i="22"/>
  <c r="D99" i="22"/>
  <c r="D48" i="21"/>
  <c r="D49" i="21"/>
  <c r="F95" i="29"/>
  <c r="F96" i="29"/>
  <c r="F97" i="29"/>
  <c r="F98" i="29"/>
  <c r="F99" i="29"/>
  <c r="E43" i="21"/>
  <c r="H29" i="61"/>
  <c r="H31" i="61"/>
  <c r="H32" i="61"/>
  <c r="H34" i="61"/>
  <c r="H33" i="61"/>
  <c r="H30" i="61"/>
  <c r="H36" i="61"/>
  <c r="H17" i="61"/>
  <c r="H20" i="61"/>
  <c r="H37" i="61"/>
  <c r="H39" i="61"/>
  <c r="H42" i="61"/>
  <c r="H44" i="61"/>
  <c r="H45" i="61"/>
  <c r="H47" i="61"/>
  <c r="H46" i="61"/>
  <c r="H43" i="61"/>
  <c r="H49" i="61"/>
  <c r="H50" i="61"/>
  <c r="F11" i="68"/>
  <c r="F27" i="68"/>
  <c r="F28" i="68"/>
  <c r="E45" i="21"/>
  <c r="E47" i="21"/>
  <c r="E95" i="22"/>
  <c r="E96" i="22"/>
  <c r="M40" i="22"/>
  <c r="N37" i="22"/>
  <c r="N38" i="22"/>
  <c r="M46" i="22"/>
  <c r="N43" i="22"/>
  <c r="N44" i="22"/>
  <c r="M58" i="22"/>
  <c r="N55" i="22"/>
  <c r="N56" i="22"/>
  <c r="M52" i="22"/>
  <c r="N49" i="22"/>
  <c r="N50" i="22"/>
  <c r="M64" i="22"/>
  <c r="N61" i="22"/>
  <c r="N62" i="22"/>
  <c r="N66" i="22"/>
  <c r="E97" i="22"/>
  <c r="E98" i="22"/>
  <c r="E99" i="22"/>
  <c r="E48" i="21"/>
  <c r="E49" i="21"/>
  <c r="G95" i="29"/>
  <c r="G96" i="29"/>
  <c r="G97" i="29"/>
  <c r="G98" i="29"/>
  <c r="G99" i="29"/>
  <c r="F43" i="21"/>
  <c r="I29" i="61"/>
  <c r="I31" i="61"/>
  <c r="I32" i="61"/>
  <c r="I34" i="61"/>
  <c r="I33" i="61"/>
  <c r="I30" i="61"/>
  <c r="I36" i="61"/>
  <c r="I17" i="61"/>
  <c r="I20" i="61"/>
  <c r="I37" i="61"/>
  <c r="I39" i="61"/>
  <c r="I42" i="61"/>
  <c r="I44" i="61"/>
  <c r="I45" i="61"/>
  <c r="I47" i="61"/>
  <c r="I46" i="61"/>
  <c r="I43" i="61"/>
  <c r="I49" i="61"/>
  <c r="I50" i="61"/>
  <c r="G11" i="68"/>
  <c r="G27" i="68"/>
  <c r="G28" i="68"/>
  <c r="F45" i="21"/>
  <c r="F47" i="21"/>
  <c r="F95" i="22"/>
  <c r="F96" i="22"/>
  <c r="N40" i="22"/>
  <c r="O37" i="22"/>
  <c r="O38" i="22"/>
  <c r="N46" i="22"/>
  <c r="O43" i="22"/>
  <c r="O44" i="22"/>
  <c r="N58" i="22"/>
  <c r="O55" i="22"/>
  <c r="O56" i="22"/>
  <c r="N52" i="22"/>
  <c r="O49" i="22"/>
  <c r="O50" i="22"/>
  <c r="N64" i="22"/>
  <c r="O61" i="22"/>
  <c r="O62" i="22"/>
  <c r="O66" i="22"/>
  <c r="F97" i="22"/>
  <c r="F98" i="22"/>
  <c r="F99" i="22"/>
  <c r="F48" i="21"/>
  <c r="F49" i="21"/>
  <c r="H95" i="29"/>
  <c r="H96" i="29"/>
  <c r="H97" i="29"/>
  <c r="H98" i="29"/>
  <c r="D101" i="29"/>
  <c r="H99" i="29"/>
  <c r="H43" i="21"/>
  <c r="K29" i="61"/>
  <c r="K31" i="61"/>
  <c r="K32" i="61"/>
  <c r="K34" i="61"/>
  <c r="K33" i="61"/>
  <c r="K30" i="61"/>
  <c r="K36" i="61"/>
  <c r="K17" i="61"/>
  <c r="K20" i="61"/>
  <c r="K37" i="61"/>
  <c r="K39" i="61"/>
  <c r="K42" i="61"/>
  <c r="K44" i="61"/>
  <c r="K45" i="61"/>
  <c r="K47" i="61"/>
  <c r="K46" i="61"/>
  <c r="K43" i="61"/>
  <c r="K49" i="61"/>
  <c r="K50" i="61"/>
  <c r="I11" i="68"/>
  <c r="I27" i="68"/>
  <c r="I28" i="68"/>
  <c r="H45" i="21"/>
  <c r="H47" i="21"/>
  <c r="H95" i="22"/>
  <c r="H96" i="22"/>
  <c r="O40" i="22"/>
  <c r="P37" i="22"/>
  <c r="P38" i="22"/>
  <c r="P40" i="22"/>
  <c r="Q37" i="22"/>
  <c r="Q38" i="22"/>
  <c r="O46" i="22"/>
  <c r="P43" i="22"/>
  <c r="P44" i="22"/>
  <c r="P46" i="22"/>
  <c r="Q43" i="22"/>
  <c r="Q44" i="22"/>
  <c r="O58" i="22"/>
  <c r="P55" i="22"/>
  <c r="P56" i="22"/>
  <c r="P58" i="22"/>
  <c r="Q55" i="22"/>
  <c r="Q56" i="22"/>
  <c r="O52" i="22"/>
  <c r="P49" i="22"/>
  <c r="P50" i="22"/>
  <c r="P52" i="22"/>
  <c r="Q49" i="22"/>
  <c r="Q50" i="22"/>
  <c r="O64" i="22"/>
  <c r="P61" i="22"/>
  <c r="P62" i="22"/>
  <c r="P64" i="22"/>
  <c r="Q61" i="22"/>
  <c r="Q62" i="22"/>
  <c r="Q66" i="22"/>
  <c r="H97" i="22"/>
  <c r="H98" i="22"/>
  <c r="H99" i="22"/>
  <c r="H48" i="21"/>
  <c r="H49" i="21"/>
  <c r="J95" i="29"/>
  <c r="J96" i="29"/>
  <c r="J97" i="29"/>
  <c r="J98" i="29"/>
  <c r="G43" i="21"/>
  <c r="J29" i="61"/>
  <c r="J31" i="61"/>
  <c r="J32" i="61"/>
  <c r="J34" i="61"/>
  <c r="J33" i="61"/>
  <c r="J30" i="61"/>
  <c r="J36" i="61"/>
  <c r="J17" i="61"/>
  <c r="J20" i="61"/>
  <c r="J37" i="61"/>
  <c r="J39" i="61"/>
  <c r="J42" i="61"/>
  <c r="J44" i="61"/>
  <c r="J45" i="61"/>
  <c r="J47" i="61"/>
  <c r="J46" i="61"/>
  <c r="J43" i="61"/>
  <c r="J49" i="61"/>
  <c r="J50" i="61"/>
  <c r="H11" i="68"/>
  <c r="H27" i="68"/>
  <c r="H28" i="68"/>
  <c r="G45" i="21"/>
  <c r="G47" i="21"/>
  <c r="G95" i="22"/>
  <c r="G96" i="22"/>
  <c r="P66" i="22"/>
  <c r="G97" i="22"/>
  <c r="G98" i="22"/>
  <c r="G99" i="22"/>
  <c r="G48" i="21"/>
  <c r="G49" i="21"/>
  <c r="I95" i="29"/>
  <c r="I96" i="29"/>
  <c r="I97" i="29"/>
  <c r="I98" i="29"/>
  <c r="B98" i="29"/>
  <c r="B97" i="29"/>
  <c r="B96" i="29"/>
  <c r="B95" i="29"/>
  <c r="C80" i="29"/>
  <c r="D80" i="29"/>
  <c r="E80" i="29"/>
  <c r="F80" i="29"/>
  <c r="G80" i="29"/>
  <c r="H80" i="29"/>
  <c r="I80" i="29"/>
  <c r="C82" i="29"/>
  <c r="C83" i="29"/>
  <c r="C85" i="29"/>
  <c r="C58" i="29"/>
  <c r="C60" i="29"/>
  <c r="C61" i="29"/>
  <c r="C63" i="29"/>
  <c r="C65" i="29"/>
  <c r="C67" i="29"/>
  <c r="D58" i="29"/>
  <c r="D60" i="29"/>
  <c r="D61" i="29"/>
  <c r="D63" i="29"/>
  <c r="D65" i="29"/>
  <c r="D67" i="29"/>
  <c r="E58" i="29"/>
  <c r="E60" i="29"/>
  <c r="E61" i="29"/>
  <c r="E63" i="29"/>
  <c r="E65" i="29"/>
  <c r="E67" i="29"/>
  <c r="F58" i="29"/>
  <c r="F60" i="29"/>
  <c r="F61" i="29"/>
  <c r="F63" i="29"/>
  <c r="F65" i="29"/>
  <c r="F67" i="29"/>
  <c r="G58" i="29"/>
  <c r="G60" i="29"/>
  <c r="G61" i="29"/>
  <c r="G63" i="29"/>
  <c r="G65" i="29"/>
  <c r="G67" i="29"/>
  <c r="H58" i="29"/>
  <c r="H60" i="29"/>
  <c r="H61" i="29"/>
  <c r="H63" i="29"/>
  <c r="H65" i="29"/>
  <c r="H67" i="29"/>
  <c r="I58" i="29"/>
  <c r="I60" i="29"/>
  <c r="I61" i="29"/>
  <c r="I63" i="29"/>
  <c r="I65" i="29"/>
  <c r="I67" i="29"/>
  <c r="C69" i="29"/>
  <c r="C71" i="29"/>
  <c r="C73" i="29"/>
  <c r="C45" i="29"/>
  <c r="C32" i="29"/>
  <c r="C33" i="29"/>
  <c r="C36" i="29"/>
  <c r="C37" i="29"/>
  <c r="C34" i="29"/>
  <c r="C35" i="29"/>
  <c r="C39" i="29"/>
  <c r="C41" i="29"/>
  <c r="C43" i="29"/>
  <c r="C47" i="29"/>
  <c r="D45" i="29"/>
  <c r="D32" i="29"/>
  <c r="D33" i="29"/>
  <c r="D36" i="29"/>
  <c r="D37" i="29"/>
  <c r="D34" i="29"/>
  <c r="D35" i="29"/>
  <c r="D39" i="29"/>
  <c r="D41" i="29"/>
  <c r="D43" i="29"/>
  <c r="D47" i="29"/>
  <c r="E45" i="29"/>
  <c r="E32" i="29"/>
  <c r="E33" i="29"/>
  <c r="E36" i="29"/>
  <c r="E37" i="29"/>
  <c r="E34" i="29"/>
  <c r="E35" i="29"/>
  <c r="E39" i="29"/>
  <c r="E41" i="29"/>
  <c r="E43" i="29"/>
  <c r="E47" i="29"/>
  <c r="F45" i="29"/>
  <c r="F32" i="29"/>
  <c r="F33" i="29"/>
  <c r="F36" i="29"/>
  <c r="F37" i="29"/>
  <c r="F34" i="29"/>
  <c r="F35" i="29"/>
  <c r="F39" i="29"/>
  <c r="F41" i="29"/>
  <c r="F43" i="29"/>
  <c r="F47" i="29"/>
  <c r="G45" i="29"/>
  <c r="G32" i="29"/>
  <c r="G33" i="29"/>
  <c r="G36" i="29"/>
  <c r="G37" i="29"/>
  <c r="G34" i="29"/>
  <c r="G35" i="29"/>
  <c r="G39" i="29"/>
  <c r="G41" i="29"/>
  <c r="G43" i="29"/>
  <c r="G47" i="29"/>
  <c r="H45" i="29"/>
  <c r="H32" i="29"/>
  <c r="H33" i="29"/>
  <c r="H36" i="29"/>
  <c r="H37" i="29"/>
  <c r="H34" i="29"/>
  <c r="H35" i="29"/>
  <c r="H39" i="29"/>
  <c r="H41" i="29"/>
  <c r="H43" i="29"/>
  <c r="H47" i="29"/>
  <c r="I45" i="29"/>
  <c r="I32" i="29"/>
  <c r="I33" i="29"/>
  <c r="I36" i="29"/>
  <c r="I37" i="29"/>
  <c r="I34" i="29"/>
  <c r="I35" i="29"/>
  <c r="I39" i="29"/>
  <c r="I41" i="29"/>
  <c r="I43" i="29"/>
  <c r="I47" i="29"/>
  <c r="C49" i="29"/>
  <c r="B37" i="29"/>
  <c r="B36" i="29"/>
  <c r="B35" i="29"/>
  <c r="B34" i="29"/>
  <c r="B33" i="29"/>
  <c r="B32" i="29"/>
  <c r="D9" i="29"/>
  <c r="D11" i="29"/>
  <c r="D12" i="29"/>
  <c r="D14" i="29"/>
  <c r="C15" i="29"/>
  <c r="D15" i="29"/>
  <c r="E9" i="29"/>
  <c r="E11" i="29"/>
  <c r="E12" i="29"/>
  <c r="E14" i="29"/>
  <c r="E15" i="29"/>
  <c r="F9" i="29"/>
  <c r="F11" i="29"/>
  <c r="F12" i="29"/>
  <c r="F14" i="29"/>
  <c r="F15" i="29"/>
  <c r="G9" i="29"/>
  <c r="G11" i="29"/>
  <c r="G12" i="29"/>
  <c r="G14" i="29"/>
  <c r="G15" i="29"/>
  <c r="H9" i="29"/>
  <c r="H11" i="29"/>
  <c r="H12" i="29"/>
  <c r="H14" i="29"/>
  <c r="H15" i="29"/>
  <c r="I9" i="29"/>
  <c r="I11" i="29"/>
  <c r="I12" i="29"/>
  <c r="I14" i="29"/>
  <c r="I15" i="29"/>
  <c r="J9" i="29"/>
  <c r="J11" i="29"/>
  <c r="J12" i="29"/>
  <c r="J14" i="29"/>
  <c r="J15" i="29"/>
  <c r="C16" i="29"/>
  <c r="D18" i="29"/>
  <c r="D19" i="29"/>
  <c r="E18" i="29"/>
  <c r="E19" i="29"/>
  <c r="F18" i="29"/>
  <c r="F19" i="29"/>
  <c r="G18" i="29"/>
  <c r="G19" i="29"/>
  <c r="H18" i="29"/>
  <c r="H19" i="29"/>
  <c r="I18" i="29"/>
  <c r="I19" i="29"/>
  <c r="J18" i="29"/>
  <c r="J19" i="29"/>
  <c r="D20" i="29"/>
  <c r="D22" i="29"/>
  <c r="F23" i="29"/>
  <c r="I29" i="68"/>
  <c r="I22" i="68"/>
  <c r="I23" i="68"/>
  <c r="I30" i="68"/>
  <c r="I6" i="68"/>
  <c r="I12" i="68"/>
  <c r="I31" i="68"/>
  <c r="H29" i="68"/>
  <c r="H22" i="68"/>
  <c r="H23" i="68"/>
  <c r="H30" i="68"/>
  <c r="H6" i="68"/>
  <c r="H12" i="68"/>
  <c r="H31" i="68"/>
  <c r="G29" i="68"/>
  <c r="G22" i="68"/>
  <c r="G23" i="68"/>
  <c r="G30" i="68"/>
  <c r="G6" i="68"/>
  <c r="G12" i="68"/>
  <c r="G31" i="68"/>
  <c r="F29" i="68"/>
  <c r="F22" i="68"/>
  <c r="F23" i="68"/>
  <c r="F30" i="68"/>
  <c r="F6" i="68"/>
  <c r="F12" i="68"/>
  <c r="F31" i="68"/>
  <c r="E29" i="68"/>
  <c r="E22" i="68"/>
  <c r="E23" i="68"/>
  <c r="E30" i="68"/>
  <c r="E6" i="68"/>
  <c r="E12" i="68"/>
  <c r="E31" i="68"/>
  <c r="D29" i="68"/>
  <c r="D22" i="68"/>
  <c r="D23" i="68"/>
  <c r="D30" i="68"/>
  <c r="D6" i="68"/>
  <c r="D12" i="68"/>
  <c r="D31" i="68"/>
  <c r="F6" i="62"/>
  <c r="F7" i="62"/>
  <c r="F10" i="62"/>
  <c r="F11" i="62"/>
  <c r="F8" i="62"/>
  <c r="F9" i="62"/>
  <c r="F13" i="62"/>
  <c r="E20" i="62"/>
  <c r="E22" i="62"/>
  <c r="C7" i="68"/>
  <c r="C9" i="68"/>
  <c r="C10" i="68"/>
  <c r="C6" i="68"/>
  <c r="C12" i="68"/>
  <c r="C15" i="68"/>
  <c r="C29" i="68"/>
  <c r="C16" i="68"/>
  <c r="C19" i="68"/>
  <c r="C20" i="68"/>
  <c r="C22" i="68"/>
  <c r="C23" i="68"/>
  <c r="C17" i="68"/>
  <c r="C18" i="68"/>
  <c r="C30" i="68"/>
  <c r="C31" i="68"/>
  <c r="C33" i="68"/>
  <c r="D32" i="68"/>
  <c r="D33" i="68"/>
  <c r="E32" i="68"/>
  <c r="E33" i="68"/>
  <c r="F32" i="68"/>
  <c r="F33" i="68"/>
  <c r="G32" i="68"/>
  <c r="G33" i="68"/>
  <c r="H32" i="68"/>
  <c r="H33" i="68"/>
  <c r="I32" i="68"/>
  <c r="I33" i="68"/>
  <c r="B16" i="68"/>
  <c r="B15" i="68"/>
  <c r="B9" i="68"/>
  <c r="B32" i="69"/>
  <c r="C32" i="69"/>
  <c r="D32" i="69"/>
  <c r="E32" i="69"/>
  <c r="F32" i="69"/>
  <c r="G32" i="69"/>
  <c r="H32" i="69"/>
  <c r="B50" i="21"/>
  <c r="B36" i="69"/>
  <c r="B38" i="69"/>
  <c r="C35" i="69"/>
  <c r="C36" i="69"/>
  <c r="C38" i="69"/>
  <c r="D35" i="69"/>
  <c r="D36" i="69"/>
  <c r="D38" i="69"/>
  <c r="E35" i="69"/>
  <c r="E36" i="69"/>
  <c r="E38" i="69"/>
  <c r="F35" i="69"/>
  <c r="F36" i="69"/>
  <c r="F38" i="69"/>
  <c r="G35" i="69"/>
  <c r="G36" i="69"/>
  <c r="G38" i="69"/>
  <c r="H35" i="69"/>
  <c r="H36" i="69"/>
  <c r="H38" i="69"/>
  <c r="B33" i="69"/>
  <c r="C33" i="69"/>
  <c r="D33" i="69"/>
  <c r="E33" i="69"/>
  <c r="F33" i="69"/>
  <c r="G33" i="69"/>
  <c r="H33" i="69"/>
  <c r="H40" i="69"/>
  <c r="H26" i="69"/>
  <c r="H27" i="69"/>
  <c r="H30" i="69"/>
  <c r="H42" i="69"/>
  <c r="H7" i="69"/>
  <c r="H10" i="69"/>
  <c r="C40" i="22"/>
  <c r="D37" i="22"/>
  <c r="D40" i="22"/>
  <c r="E37" i="22"/>
  <c r="E40" i="22"/>
  <c r="F37" i="22"/>
  <c r="F40" i="22"/>
  <c r="G37" i="22"/>
  <c r="G40" i="22"/>
  <c r="H37" i="22"/>
  <c r="H40" i="22"/>
  <c r="I37" i="22"/>
  <c r="C46" i="22"/>
  <c r="D43" i="22"/>
  <c r="D46" i="22"/>
  <c r="E43" i="22"/>
  <c r="E46" i="22"/>
  <c r="F43" i="22"/>
  <c r="F46" i="22"/>
  <c r="G43" i="22"/>
  <c r="G46" i="22"/>
  <c r="H43" i="22"/>
  <c r="H46" i="22"/>
  <c r="I43" i="22"/>
  <c r="C58" i="22"/>
  <c r="D55" i="22"/>
  <c r="D58" i="22"/>
  <c r="E55" i="22"/>
  <c r="E58" i="22"/>
  <c r="F55" i="22"/>
  <c r="F58" i="22"/>
  <c r="G55" i="22"/>
  <c r="G58" i="22"/>
  <c r="H55" i="22"/>
  <c r="H58" i="22"/>
  <c r="I55" i="22"/>
  <c r="C52" i="22"/>
  <c r="D49" i="22"/>
  <c r="D52" i="22"/>
  <c r="E49" i="22"/>
  <c r="E52" i="22"/>
  <c r="F49" i="22"/>
  <c r="F52" i="22"/>
  <c r="G49" i="22"/>
  <c r="G52" i="22"/>
  <c r="H49" i="22"/>
  <c r="H52" i="22"/>
  <c r="I49" i="22"/>
  <c r="C64" i="22"/>
  <c r="D61" i="22"/>
  <c r="D64" i="22"/>
  <c r="E61" i="22"/>
  <c r="E64" i="22"/>
  <c r="F61" i="22"/>
  <c r="F64" i="22"/>
  <c r="G61" i="22"/>
  <c r="G64" i="22"/>
  <c r="H61" i="22"/>
  <c r="H64" i="22"/>
  <c r="I61" i="22"/>
  <c r="I65" i="22"/>
  <c r="H12" i="69"/>
  <c r="H13" i="69"/>
  <c r="H14" i="69"/>
  <c r="B17" i="69"/>
  <c r="C17" i="69"/>
  <c r="D17" i="69"/>
  <c r="E17" i="69"/>
  <c r="F17" i="69"/>
  <c r="G17" i="69"/>
  <c r="H17" i="69"/>
  <c r="H19" i="69"/>
  <c r="H45" i="69"/>
  <c r="G27" i="69"/>
  <c r="G26" i="69"/>
  <c r="G30" i="69"/>
  <c r="G40" i="69"/>
  <c r="G42" i="69"/>
  <c r="G7" i="69"/>
  <c r="G10" i="69"/>
  <c r="H65" i="22"/>
  <c r="G12" i="69"/>
  <c r="G13" i="69"/>
  <c r="G14" i="69"/>
  <c r="G19" i="69"/>
  <c r="G45" i="69"/>
  <c r="F27" i="69"/>
  <c r="F26" i="69"/>
  <c r="F30" i="69"/>
  <c r="F40" i="69"/>
  <c r="F42" i="69"/>
  <c r="F7" i="69"/>
  <c r="F10" i="69"/>
  <c r="G65" i="22"/>
  <c r="F12" i="69"/>
  <c r="F13" i="69"/>
  <c r="F14" i="69"/>
  <c r="F19" i="69"/>
  <c r="F45" i="69"/>
  <c r="E27" i="69"/>
  <c r="E26" i="69"/>
  <c r="E30" i="69"/>
  <c r="E40" i="69"/>
  <c r="E42" i="69"/>
  <c r="E7" i="69"/>
  <c r="E10" i="69"/>
  <c r="F65" i="22"/>
  <c r="E12" i="69"/>
  <c r="E13" i="69"/>
  <c r="E14" i="69"/>
  <c r="E19" i="69"/>
  <c r="E45" i="69"/>
  <c r="D27" i="69"/>
  <c r="D26" i="69"/>
  <c r="D30" i="69"/>
  <c r="D40" i="69"/>
  <c r="D42" i="69"/>
  <c r="D7" i="69"/>
  <c r="D10" i="69"/>
  <c r="E65" i="22"/>
  <c r="D12" i="69"/>
  <c r="D13" i="69"/>
  <c r="D14" i="69"/>
  <c r="D19" i="69"/>
  <c r="D45" i="69"/>
  <c r="C27" i="69"/>
  <c r="C26" i="69"/>
  <c r="C30" i="69"/>
  <c r="C40" i="69"/>
  <c r="C42" i="69"/>
  <c r="C7" i="69"/>
  <c r="C10" i="69"/>
  <c r="D65" i="22"/>
  <c r="C12" i="69"/>
  <c r="C13" i="69"/>
  <c r="C14" i="69"/>
  <c r="C19" i="69"/>
  <c r="C45" i="69"/>
  <c r="B27" i="69"/>
  <c r="B26" i="69"/>
  <c r="B30" i="69"/>
  <c r="B40" i="69"/>
  <c r="B42" i="69"/>
  <c r="B7" i="69"/>
  <c r="B10" i="69"/>
  <c r="C65" i="22"/>
  <c r="B12" i="69"/>
  <c r="B13" i="69"/>
  <c r="B14" i="69"/>
  <c r="B19" i="69"/>
  <c r="B45" i="69"/>
  <c r="C50" i="21"/>
  <c r="D50" i="21"/>
  <c r="E50" i="21"/>
  <c r="F50" i="21"/>
  <c r="G50" i="21"/>
  <c r="H50" i="21"/>
  <c r="J38" i="21"/>
  <c r="J39" i="21"/>
  <c r="J40" i="21"/>
  <c r="A21" i="21"/>
  <c r="A31" i="21"/>
  <c r="A20" i="21"/>
  <c r="A30" i="21"/>
  <c r="A19" i="21"/>
  <c r="A29" i="21"/>
  <c r="A18" i="21"/>
  <c r="A28" i="21"/>
  <c r="A17" i="21"/>
  <c r="A27" i="21"/>
  <c r="A16" i="21"/>
  <c r="A26" i="21"/>
  <c r="C47" i="61"/>
  <c r="C46" i="61"/>
  <c r="C45" i="61"/>
  <c r="C44" i="61"/>
  <c r="C43" i="61"/>
  <c r="C42" i="61"/>
  <c r="C16" i="61"/>
  <c r="V10" i="61"/>
  <c r="V7" i="61"/>
  <c r="V8" i="61"/>
  <c r="V9" i="61"/>
  <c r="V11" i="61"/>
  <c r="V12" i="61"/>
  <c r="V15" i="61"/>
  <c r="O9" i="61"/>
  <c r="P9" i="61"/>
  <c r="Q9" i="61"/>
  <c r="R9" i="61"/>
  <c r="O10" i="61"/>
  <c r="P10" i="61"/>
  <c r="Q10" i="61"/>
  <c r="R10" i="61"/>
  <c r="R7" i="61"/>
  <c r="O8" i="61"/>
  <c r="P8" i="61"/>
  <c r="Q8" i="61"/>
  <c r="R8" i="61"/>
  <c r="O11" i="61"/>
  <c r="P11" i="61"/>
  <c r="Q11" i="61"/>
  <c r="R11" i="61"/>
  <c r="O12" i="61"/>
  <c r="P12" i="61"/>
  <c r="Q12" i="61"/>
  <c r="R12" i="61"/>
  <c r="R15" i="61"/>
  <c r="Q7" i="61"/>
  <c r="Q15" i="61"/>
  <c r="P7" i="61"/>
  <c r="P15" i="61"/>
  <c r="O7" i="61"/>
  <c r="O15" i="61"/>
  <c r="C15" i="61"/>
  <c r="C14" i="61"/>
  <c r="U12" i="61"/>
  <c r="N12" i="61"/>
  <c r="U11" i="61"/>
  <c r="N11" i="61"/>
  <c r="K8" i="61"/>
  <c r="K11" i="61"/>
  <c r="J8" i="61"/>
  <c r="J11" i="61"/>
  <c r="I8" i="61"/>
  <c r="I11" i="61"/>
  <c r="H8" i="61"/>
  <c r="H11" i="61"/>
  <c r="G8" i="61"/>
  <c r="G11" i="61"/>
  <c r="F8" i="61"/>
  <c r="F11" i="61"/>
  <c r="U10" i="61"/>
  <c r="N10" i="61"/>
  <c r="U9" i="61"/>
  <c r="N9" i="61"/>
  <c r="U8" i="61"/>
  <c r="N8" i="61"/>
  <c r="C8" i="61"/>
  <c r="E94" i="23"/>
  <c r="D94" i="23"/>
  <c r="G93" i="23"/>
  <c r="I87" i="22"/>
  <c r="H87" i="22"/>
  <c r="G87" i="22"/>
  <c r="F87" i="22"/>
  <c r="E87" i="22"/>
  <c r="D87" i="22"/>
  <c r="C87" i="22"/>
  <c r="Q40" i="22"/>
  <c r="Q46" i="22"/>
  <c r="Q58" i="22"/>
  <c r="Q52" i="22"/>
  <c r="Q64" i="22"/>
  <c r="Q68" i="22"/>
  <c r="P68" i="22"/>
  <c r="O68" i="22"/>
  <c r="N68" i="22"/>
  <c r="M68" i="22"/>
  <c r="L68" i="22"/>
  <c r="K68" i="22"/>
  <c r="I40" i="22"/>
  <c r="I46" i="22"/>
  <c r="I58" i="22"/>
  <c r="I52" i="22"/>
  <c r="I64" i="22"/>
  <c r="I68" i="22"/>
  <c r="H68" i="22"/>
  <c r="G68" i="22"/>
  <c r="F68" i="22"/>
  <c r="E68" i="22"/>
  <c r="D68" i="22"/>
  <c r="C68" i="22"/>
  <c r="K39" i="22"/>
  <c r="L39" i="22"/>
  <c r="M39" i="22"/>
  <c r="N39" i="22"/>
  <c r="O39" i="22"/>
  <c r="P39" i="22"/>
  <c r="Q39" i="22"/>
  <c r="K45" i="22"/>
  <c r="L45" i="22"/>
  <c r="M45" i="22"/>
  <c r="N45" i="22"/>
  <c r="O45" i="22"/>
  <c r="P45" i="22"/>
  <c r="Q45" i="22"/>
  <c r="K57" i="22"/>
  <c r="L57" i="22"/>
  <c r="M57" i="22"/>
  <c r="N57" i="22"/>
  <c r="O57" i="22"/>
  <c r="P57" i="22"/>
  <c r="Q57" i="22"/>
  <c r="K51" i="22"/>
  <c r="L51" i="22"/>
  <c r="M51" i="22"/>
  <c r="N51" i="22"/>
  <c r="O51" i="22"/>
  <c r="P51" i="22"/>
  <c r="Q51" i="22"/>
  <c r="K63" i="22"/>
  <c r="L63" i="22"/>
  <c r="M63" i="22"/>
  <c r="N63" i="22"/>
  <c r="O63" i="22"/>
  <c r="P63" i="22"/>
  <c r="Q63" i="22"/>
  <c r="Q67" i="22"/>
  <c r="P67" i="22"/>
  <c r="O67" i="22"/>
  <c r="N67" i="22"/>
  <c r="M67" i="22"/>
  <c r="L67" i="22"/>
  <c r="K67" i="22"/>
  <c r="C39" i="22"/>
  <c r="D39" i="22"/>
  <c r="E39" i="22"/>
  <c r="F39" i="22"/>
  <c r="G39" i="22"/>
  <c r="H39" i="22"/>
  <c r="I39" i="22"/>
  <c r="C45" i="22"/>
  <c r="D45" i="22"/>
  <c r="E45" i="22"/>
  <c r="F45" i="22"/>
  <c r="G45" i="22"/>
  <c r="H45" i="22"/>
  <c r="I45" i="22"/>
  <c r="C57" i="22"/>
  <c r="D57" i="22"/>
  <c r="E57" i="22"/>
  <c r="F57" i="22"/>
  <c r="G57" i="22"/>
  <c r="H57" i="22"/>
  <c r="I57" i="22"/>
  <c r="C51" i="22"/>
  <c r="D51" i="22"/>
  <c r="E51" i="22"/>
  <c r="F51" i="22"/>
  <c r="G51" i="22"/>
  <c r="H51" i="22"/>
  <c r="I51" i="22"/>
  <c r="C63" i="22"/>
  <c r="D63" i="22"/>
  <c r="E63" i="22"/>
  <c r="F63" i="22"/>
  <c r="G63" i="22"/>
  <c r="H63" i="22"/>
  <c r="I63" i="22"/>
  <c r="I67" i="22"/>
  <c r="H67" i="22"/>
  <c r="G67" i="22"/>
  <c r="F67" i="22"/>
  <c r="E67" i="22"/>
  <c r="D67" i="22"/>
  <c r="C67" i="22"/>
  <c r="Q65" i="22"/>
  <c r="P65" i="22"/>
  <c r="O65" i="22"/>
  <c r="N65" i="22"/>
  <c r="M65" i="22"/>
  <c r="L65" i="22"/>
  <c r="K65" i="22"/>
  <c r="A64" i="22"/>
  <c r="A63" i="22"/>
  <c r="A62" i="22"/>
  <c r="A61" i="22"/>
  <c r="H74" i="57"/>
  <c r="G54" i="57"/>
  <c r="H37" i="57"/>
  <c r="D34" i="62"/>
  <c r="D33" i="62"/>
  <c r="D32" i="62"/>
  <c r="D31" i="62"/>
  <c r="D30" i="62"/>
  <c r="D29" i="62"/>
  <c r="E23" i="62"/>
  <c r="M16" i="62"/>
  <c r="M18" i="62"/>
  <c r="C11" i="62"/>
  <c r="C10" i="62"/>
  <c r="C9" i="62"/>
  <c r="C8" i="62"/>
  <c r="C7" i="62"/>
  <c r="C6" i="62"/>
</calcChain>
</file>

<file path=xl/sharedStrings.xml><?xml version="1.0" encoding="utf-8"?>
<sst xmlns="http://schemas.openxmlformats.org/spreadsheetml/2006/main" count="1441" uniqueCount="736">
  <si>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</si>
  <si>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</si>
  <si>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</si>
  <si>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</si>
  <si>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</si>
  <si>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</si>
  <si>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</si>
  <si>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</si>
  <si>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</si>
  <si>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</si>
  <si>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</si>
  <si>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</si>
  <si>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</si>
  <si>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</si>
  <si>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</si>
  <si>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</si>
  <si>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</si>
  <si>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</si>
  <si>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</si>
  <si>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</si>
  <si>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</si>
  <si>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</si>
  <si>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</si>
  <si>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</si>
  <si>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</si>
  <si>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</si>
  <si>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</si>
  <si>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</si>
  <si>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</si>
  <si>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</si>
  <si>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</si>
  <si>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</si>
  <si>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</si>
  <si>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</si>
  <si>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</si>
  <si>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</si>
  <si>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</si>
  <si>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</si>
  <si>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</si>
  <si>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</si>
  <si>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</si>
  <si>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</si>
  <si>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</si>
  <si>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</si>
  <si>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</si>
  <si>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</si>
  <si>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</si>
  <si>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</si>
  <si>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</si>
  <si>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</si>
  <si>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</si>
  <si>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</si>
  <si>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</si>
  <si>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</si>
  <si>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</si>
  <si>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</si>
  <si>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</si>
  <si>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</si>
  <si>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</si>
  <si>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</si>
  <si>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</si>
  <si>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</si>
  <si>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</si>
  <si>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</si>
  <si>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</si>
  <si>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</si>
  <si>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</si>
  <si>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</si>
  <si>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</si>
  <si>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</si>
  <si>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</si>
  <si>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</si>
  <si>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</si>
  <si>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</si>
  <si>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</si>
  <si>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</si>
  <si>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</si>
  <si>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</si>
  <si>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</si>
  <si>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</si>
  <si>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</si>
  <si>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</si>
  <si>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</si>
  <si>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</si>
  <si>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</si>
  <si>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</si>
  <si>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</si>
  <si>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</si>
  <si>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</si>
  <si>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</si>
  <si>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</si>
  <si>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</si>
  <si>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</si>
  <si>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</si>
  <si>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</si>
  <si>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</si>
  <si>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</si>
  <si>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</si>
  <si>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</si>
  <si>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</si>
  <si>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</si>
  <si>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</si>
  <si>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</si>
  <si>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</si>
  <si>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</si>
  <si>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</si>
  <si>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</si>
  <si>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</si>
  <si>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</si>
  <si>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</si>
  <si>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</si>
  <si>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</si>
  <si>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</si>
  <si>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</si>
  <si>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</si>
  <si>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</si>
  <si>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</si>
  <si>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</si>
  <si>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</si>
  <si>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</si>
  <si>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</si>
  <si>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</si>
  <si>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</si>
  <si>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</si>
  <si>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</si>
  <si>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</si>
  <si>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</si>
  <si>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</si>
  <si>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</si>
  <si>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</si>
  <si>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</si>
  <si>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</si>
  <si>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</si>
  <si>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</si>
  <si>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</si>
  <si>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</si>
  <si>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</si>
  <si>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</si>
  <si>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</si>
  <si>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</si>
  <si>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</si>
  <si>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</si>
  <si>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</si>
  <si>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</si>
  <si>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</si>
  <si>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</si>
  <si>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</si>
  <si>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</si>
  <si>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Sq. ft.</t>
  </si>
  <si>
    <t>Description</t>
  </si>
  <si>
    <t>No. Required</t>
  </si>
  <si>
    <t>Rate</t>
  </si>
  <si>
    <t>Total HP</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</si>
  <si>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</si>
  <si>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</si>
  <si>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</si>
  <si>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</si>
  <si>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</si>
  <si>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</si>
  <si>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</si>
  <si>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</si>
  <si>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</si>
  <si>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</si>
  <si>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</si>
  <si>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</si>
  <si>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</si>
  <si>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</si>
  <si>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</si>
  <si>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</si>
  <si>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</si>
  <si>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</si>
  <si>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</si>
  <si>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</si>
  <si>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</si>
  <si>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</si>
  <si>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</si>
  <si>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</si>
  <si>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</si>
  <si>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</si>
  <si>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</si>
  <si>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</si>
  <si>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</si>
  <si>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</si>
  <si>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</si>
  <si>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</si>
  <si>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</si>
  <si>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</si>
  <si>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</si>
  <si>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</si>
  <si>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</si>
  <si>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</si>
  <si>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</si>
  <si>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</si>
  <si>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</si>
  <si>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</si>
  <si>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</si>
  <si>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</si>
  <si>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</si>
  <si>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</si>
  <si>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</si>
  <si>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</si>
  <si>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</si>
  <si>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</si>
  <si>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</si>
  <si>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</si>
  <si>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</si>
  <si>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</si>
  <si>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</si>
  <si>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</si>
  <si>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</si>
  <si>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</si>
  <si>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</si>
  <si>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</si>
  <si>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</si>
  <si>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</si>
  <si>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</si>
  <si>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</si>
  <si>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</si>
  <si>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</si>
  <si>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</si>
  <si>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</si>
  <si>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</si>
  <si>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</si>
  <si>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</si>
  <si>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</si>
  <si>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</si>
  <si>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</si>
  <si>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</si>
  <si>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</si>
  <si>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</si>
  <si>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</si>
  <si>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</si>
  <si>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</si>
  <si>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</si>
  <si>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</si>
  <si>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</si>
  <si>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</si>
  <si>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</si>
  <si>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</si>
  <si>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</si>
  <si>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</si>
  <si>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</si>
  <si>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</si>
  <si>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</si>
  <si>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</si>
  <si>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</si>
  <si>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</si>
  <si>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</si>
  <si>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</si>
  <si>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</si>
  <si>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</si>
  <si>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</si>
  <si>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</si>
  <si>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</si>
  <si>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</si>
  <si>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</si>
  <si>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</si>
  <si>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</si>
  <si>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</si>
  <si>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</si>
  <si>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</si>
  <si>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</si>
  <si>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</si>
  <si>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</si>
  <si>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</si>
  <si>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</si>
  <si>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</si>
  <si>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</si>
  <si>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</si>
  <si>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</si>
  <si>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</si>
  <si>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</si>
  <si>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</si>
  <si>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</si>
  <si>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</si>
  <si>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</si>
  <si>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</si>
  <si>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</si>
  <si>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</si>
  <si>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</si>
  <si>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</si>
  <si>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</si>
  <si>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</si>
  <si>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</si>
  <si>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</si>
  <si>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</si>
  <si>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</si>
  <si>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</si>
  <si>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</si>
  <si>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</si>
  <si>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</si>
  <si>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</si>
  <si>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</si>
  <si>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</si>
  <si>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</si>
  <si>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</si>
  <si>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</si>
  <si>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</si>
  <si>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</si>
  <si>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</si>
  <si>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</si>
  <si>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</si>
  <si>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</si>
  <si>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</si>
  <si>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</si>
  <si>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</si>
  <si>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</si>
  <si>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</si>
  <si>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</si>
  <si>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</si>
  <si>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</si>
  <si>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</si>
  <si>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</si>
  <si>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</si>
  <si>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</si>
  <si>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</si>
  <si>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</si>
  <si>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</si>
  <si>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</si>
  <si>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</si>
  <si>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</si>
  <si>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</si>
  <si>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</si>
  <si>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</si>
  <si>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</si>
  <si>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</si>
  <si>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</si>
  <si>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</si>
  <si>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</si>
  <si>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</si>
  <si>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</si>
  <si>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</si>
  <si>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</si>
  <si>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</si>
  <si>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</si>
  <si>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</si>
  <si>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</si>
  <si>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</si>
  <si>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</si>
  <si>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</si>
  <si>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</si>
  <si>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</si>
  <si>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</si>
  <si>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</si>
  <si>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</si>
  <si>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</si>
  <si>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</si>
  <si>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</si>
  <si>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</si>
  <si>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</si>
  <si>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</si>
  <si>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</si>
  <si>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</si>
  <si>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</si>
  <si>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</si>
  <si>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</si>
  <si>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</si>
  <si>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</si>
  <si>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</si>
  <si>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</si>
  <si>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</si>
  <si>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</si>
  <si>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</si>
  <si>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</si>
  <si>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</si>
  <si>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</si>
  <si>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</si>
  <si>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</si>
  <si>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</si>
  <si>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</si>
  <si>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</si>
  <si>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</si>
  <si>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</si>
  <si>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</si>
  <si>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</si>
  <si>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</si>
  <si>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</si>
  <si>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</si>
  <si>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</si>
  <si>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</si>
  <si>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</si>
  <si>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</si>
  <si>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</si>
  <si>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</si>
  <si>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</si>
  <si>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</si>
  <si>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</si>
  <si>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</si>
  <si>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</si>
  <si>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</si>
  <si>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</si>
  <si>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</si>
  <si>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</si>
  <si>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</si>
  <si>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</si>
  <si>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</si>
  <si>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</si>
  <si>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</si>
  <si>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</si>
  <si>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</si>
  <si>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</si>
  <si>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</si>
  <si>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</si>
  <si>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</si>
  <si>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</si>
  <si>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</si>
  <si>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</si>
  <si>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</si>
  <si>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</si>
  <si>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</si>
  <si>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</si>
  <si>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</si>
  <si>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</si>
  <si>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</si>
  <si>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</si>
  <si>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</si>
  <si>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</si>
  <si>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</si>
  <si>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</si>
  <si>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</si>
  <si>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</si>
  <si>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</si>
  <si>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</si>
  <si>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</si>
  <si>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</si>
  <si>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</si>
  <si>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</si>
  <si>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</si>
  <si>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</si>
  <si>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</si>
  <si>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</si>
  <si>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</si>
  <si>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</si>
  <si>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</si>
  <si>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</si>
  <si>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</si>
  <si>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</si>
  <si>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</si>
  <si>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</si>
  <si>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</si>
  <si>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</si>
  <si>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</si>
  <si>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</si>
  <si>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</si>
  <si>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</si>
  <si>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</si>
  <si>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</si>
  <si>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</si>
  <si>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</si>
  <si>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</si>
  <si>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</si>
  <si>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</si>
  <si>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</si>
  <si>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</si>
  <si>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</si>
  <si>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</si>
  <si>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</si>
  <si>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</si>
  <si>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</si>
  <si>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</si>
  <si>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</si>
  <si>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</si>
  <si>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</si>
  <si>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</si>
  <si>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</si>
  <si>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</si>
  <si>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</si>
  <si>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</si>
  <si>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</si>
  <si>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</si>
  <si>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</si>
  <si>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</si>
  <si>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</si>
  <si>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</si>
  <si>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</si>
  <si>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</si>
  <si>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</si>
  <si>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</si>
  <si>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</si>
  <si>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</si>
  <si>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</si>
  <si>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</si>
  <si>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Safflower</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</si>
  <si>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</si>
  <si>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</si>
  <si>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</si>
  <si>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</si>
  <si>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</si>
  <si>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</si>
  <si>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</si>
  <si>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</si>
  <si>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</si>
  <si>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</si>
  <si>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</si>
  <si>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</si>
  <si>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</si>
  <si>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</si>
  <si>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</si>
  <si>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</si>
  <si>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</si>
  <si>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</si>
  <si>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</si>
  <si>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</si>
  <si>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</si>
  <si>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</si>
  <si>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</si>
  <si>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</si>
  <si>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</si>
  <si>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</si>
  <si>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</si>
  <si>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</si>
  <si>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</si>
  <si>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</si>
  <si>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</si>
  <si>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</si>
  <si>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</si>
  <si>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</si>
  <si>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</si>
  <si>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</si>
  <si>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</si>
  <si>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</si>
  <si>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</si>
  <si>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</si>
  <si>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</si>
  <si>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</si>
  <si>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</si>
  <si>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</si>
  <si>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</si>
  <si>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</si>
  <si>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</si>
  <si>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</si>
  <si>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</si>
  <si>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</si>
  <si>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</si>
  <si>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</si>
  <si>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</si>
  <si>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</si>
  <si>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</si>
  <si>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</si>
  <si>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</si>
  <si>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</si>
  <si>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</si>
  <si>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</si>
  <si>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</si>
  <si>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</si>
  <si>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</si>
  <si>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</si>
  <si>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</si>
  <si>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</si>
  <si>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Area under crop (In Acres)</t>
  </si>
  <si>
    <t>3.1 Schedule of General Admin Expenses</t>
  </si>
  <si>
    <t>3.4 Tax Schedule</t>
  </si>
  <si>
    <t>5.1 Closing and Opening Stock Calculation</t>
  </si>
  <si>
    <t>5.2 Working Capital Calculation</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</si>
  <si>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</si>
  <si>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</si>
  <si>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</si>
  <si>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</si>
  <si>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</si>
  <si>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</si>
  <si>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</si>
  <si>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</si>
  <si>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</si>
  <si>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</si>
  <si>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</si>
  <si>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</si>
  <si>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</si>
  <si>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</si>
  <si>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</si>
  <si>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</si>
  <si>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</si>
  <si>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</si>
  <si>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</si>
  <si>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</si>
  <si>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</si>
  <si>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</si>
  <si>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</si>
  <si>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</si>
  <si>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</si>
  <si>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</si>
  <si>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</si>
  <si>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</si>
  <si>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</si>
  <si>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</si>
  <si>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</si>
  <si>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</si>
  <si>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</si>
  <si>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</si>
  <si>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</si>
  <si>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</si>
  <si>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</si>
  <si>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</si>
  <si>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</si>
  <si>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</si>
  <si>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</si>
  <si>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</si>
  <si>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</si>
  <si>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</si>
  <si>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</si>
  <si>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</si>
  <si>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</si>
  <si>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</si>
  <si>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</si>
  <si>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</si>
  <si>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</si>
  <si>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</si>
  <si>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</si>
  <si>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</si>
  <si>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</si>
  <si>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</si>
  <si>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</si>
  <si>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</si>
  <si>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</si>
  <si>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</si>
  <si>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</si>
  <si>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</si>
  <si>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</si>
  <si>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</si>
  <si>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</si>
  <si>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</si>
  <si>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</si>
  <si>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</si>
  <si>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</si>
  <si>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</si>
  <si>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</si>
  <si>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</si>
  <si>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</si>
  <si>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</si>
  <si>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</si>
  <si>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</si>
  <si>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</si>
  <si>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</si>
  <si>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</si>
  <si>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</si>
  <si>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</si>
  <si>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</si>
  <si>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</si>
  <si>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</si>
  <si>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</si>
  <si>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</si>
  <si>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</si>
  <si>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</si>
  <si>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</si>
  <si>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</si>
  <si>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</si>
  <si>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</si>
  <si>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</si>
  <si>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</si>
  <si>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</si>
  <si>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</si>
  <si>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</si>
  <si>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</si>
  <si>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</si>
  <si>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</si>
  <si>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</si>
  <si>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</si>
  <si>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</si>
  <si>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</si>
  <si>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</si>
  <si>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</si>
  <si>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</si>
  <si>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</si>
  <si>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</si>
  <si>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</si>
  <si>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</si>
  <si>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</si>
  <si>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</si>
  <si>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</si>
  <si>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</si>
  <si>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</si>
  <si>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</si>
  <si>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</si>
  <si>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</si>
  <si>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</si>
  <si>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</si>
  <si>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</si>
  <si>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</si>
  <si>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</si>
  <si>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Turmeric</t>
  </si>
  <si>
    <t>Channa</t>
  </si>
  <si>
    <t>Tur</t>
  </si>
  <si>
    <t>Computer and IT Related Services</t>
  </si>
  <si>
    <t>Land, Building, Shed and Warehouse</t>
  </si>
  <si>
    <t>Udid</t>
  </si>
  <si>
    <t>Moong</t>
  </si>
  <si>
    <t>Operating profit</t>
  </si>
  <si>
    <t>Facility 2 - Grain Processing Unit - Cleaning, Grading Unit</t>
  </si>
  <si>
    <t>13.2 Facility 2 - Profit and loss of Grain Processing Unit - Cleaning, Grading and Sorting Unit</t>
  </si>
  <si>
    <t>Trading Activity</t>
  </si>
  <si>
    <t>Cleaning, Grading &amp; Sorting</t>
  </si>
  <si>
    <t>Grain Processing-Cleaning, Grading &amp; Sorting</t>
  </si>
  <si>
    <t>Company has to give credit for sale at 30 Days</t>
  </si>
  <si>
    <t>Company will receive credit from suppliers for 30 days</t>
  </si>
  <si>
    <t>Faclitiy 1 - Trading Activity</t>
  </si>
  <si>
    <t>Faclitiy 2 - Processing Unit- Cleaning, Grading</t>
  </si>
  <si>
    <t>1 Kg</t>
  </si>
  <si>
    <t>Salaries to Staff</t>
  </si>
  <si>
    <t>Owned</t>
  </si>
  <si>
    <t>Groundnut</t>
  </si>
  <si>
    <t>5.2.2 Depreciation</t>
  </si>
  <si>
    <t>SECTION 5 SUB PROJECT BUDGET AND FINANCIAL ANALYSIS</t>
  </si>
  <si>
    <t>5.1 Total Project Cost</t>
  </si>
  <si>
    <t>5.1.2 Means of Finance</t>
  </si>
  <si>
    <t>5.2.1</t>
  </si>
  <si>
    <t>5.2.3 Amortization Schedule</t>
  </si>
  <si>
    <t xml:space="preserve">5.2.4 Repayment Schedule </t>
  </si>
  <si>
    <t>5.2.6 Consolidated Profit and loss account for the Project</t>
  </si>
  <si>
    <t>5.2.7 Cash Flow Statement for the Project</t>
  </si>
  <si>
    <t>5.2.8 Balancesheet  for the Project</t>
  </si>
  <si>
    <t>5.2.9 Financial Indicators</t>
  </si>
  <si>
    <t>Land Acquisition Charges</t>
  </si>
  <si>
    <t>OR 1 Tons/Per Hours</t>
  </si>
  <si>
    <t>Washer</t>
  </si>
  <si>
    <t>Boiler</t>
  </si>
  <si>
    <t>Dryer-Hot Air</t>
  </si>
  <si>
    <t>Polisher</t>
  </si>
  <si>
    <t>GRADING MACHINE TO SEPARATE FINGER AND BULB</t>
  </si>
  <si>
    <t>BULK PACKING OF FINGERS AND BULB</t>
  </si>
  <si>
    <t>AUTOMATIC TURMERIC POWDER MAKING MACHINE</t>
  </si>
  <si>
    <t>IGST@18</t>
  </si>
  <si>
    <t xml:space="preserve"> </t>
  </si>
  <si>
    <t>Warehouse for Storing &amp; Shed of Turmeric</t>
  </si>
  <si>
    <t>1350 MT</t>
  </si>
  <si>
    <t>Shed for Turmeric</t>
  </si>
  <si>
    <t>450 MT</t>
  </si>
  <si>
    <t>Other Expenses</t>
  </si>
  <si>
    <t>Internal Roads</t>
  </si>
  <si>
    <t>1155 Sq MT</t>
  </si>
  <si>
    <t>Electrification</t>
  </si>
  <si>
    <t>Electrification-Halad</t>
  </si>
  <si>
    <t>Royalty Charges</t>
  </si>
  <si>
    <t>Lab Testing Charges</t>
  </si>
  <si>
    <t>Add: GST 18%</t>
  </si>
  <si>
    <t>Add: 0.05% Labour Charges</t>
  </si>
  <si>
    <t>2 TPH</t>
  </si>
  <si>
    <t>LATE SAMBHAJI PAWAR FARMERS PRODUCER COMPANY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</si>
</sst>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quot;£&quot;* #,##0.00_-;\-&quot;£&quot;* #,##0.00_-;_-&quot;£&quot;* &quot;-&quot;??_-;_-@_-"/>
    <numFmt numFmtId="165" formatCode="_-* #,##0.00_-;\-* #,##0.00_-;_-* &quot;-&quot;??_-;_-@_-"/>
    <numFmt numFmtId="166" formatCode="_ * #,##0.00_ ;_ * \-#,##0.00_ ;_ * &quot;-&quot;??_ ;_ @_ "/>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u/>
      <sz val="20"/>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4" fontId="1" fillId="0" borderId="0" applyFont="0" applyFill="0" applyBorder="0" applyAlignment="0" applyProtection="0"/>
    <xf numFmtId="166" fontId="18" fillId="0" borderId="0" applyFont="0" applyFill="0" applyBorder="0" applyAlignment="0" applyProtection="0"/>
  </cellStyleXfs>
  <cellXfs count="48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5" fontId="0" fillId="0" borderId="0" xfId="0" applyNumberFormat="1"/>
    <xf numFmtId="0" fontId="0" fillId="0" borderId="0" xfId="0" applyAlignment="1">
      <alignment horizontal="center"/>
    </xf>
    <xf numFmtId="165"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6"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0" fillId="2" borderId="1" xfId="0" applyFont="1" applyFill="1" applyBorder="1" applyAlignment="1">
      <alignment wrapText="1"/>
    </xf>
    <xf numFmtId="0" fontId="20"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2" fillId="5" borderId="1" xfId="0" applyFont="1" applyFill="1" applyBorder="1" applyAlignment="1">
      <alignment horizontal="center"/>
    </xf>
    <xf numFmtId="170" fontId="4" fillId="0" borderId="1" xfId="2" applyNumberFormat="1" applyFont="1" applyFill="1" applyBorder="1" applyAlignment="1">
      <alignment wrapText="1"/>
    </xf>
    <xf numFmtId="0" fontId="4" fillId="0" borderId="1" xfId="0" applyFont="1" applyFill="1" applyBorder="1"/>
    <xf numFmtId="166"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6" fontId="4" fillId="0" borderId="1" xfId="10" applyNumberFormat="1" applyFont="1" applyFill="1" applyBorder="1"/>
    <xf numFmtId="0" fontId="20" fillId="5" borderId="1" xfId="0" applyFont="1" applyFill="1" applyBorder="1"/>
    <xf numFmtId="0" fontId="20" fillId="5" borderId="1" xfId="0" applyFont="1" applyFill="1" applyBorder="1" applyAlignment="1">
      <alignment horizontal="center"/>
    </xf>
    <xf numFmtId="0" fontId="2" fillId="0" borderId="0" xfId="0" applyFont="1" applyBorder="1" applyAlignment="1"/>
    <xf numFmtId="0" fontId="23" fillId="5" borderId="1" xfId="0" applyFont="1" applyFill="1" applyBorder="1" applyAlignment="1">
      <alignment horizontal="left"/>
    </xf>
    <xf numFmtId="0" fontId="21"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6" fillId="0" borderId="0" xfId="0" applyFont="1"/>
    <xf numFmtId="0" fontId="26" fillId="0" borderId="1" xfId="0" applyFont="1" applyBorder="1"/>
    <xf numFmtId="170" fontId="26" fillId="0" borderId="1" xfId="2" applyNumberFormat="1" applyFont="1" applyBorder="1"/>
    <xf numFmtId="0" fontId="27" fillId="0" borderId="1" xfId="0" applyFont="1" applyBorder="1"/>
    <xf numFmtId="170" fontId="27" fillId="0" borderId="1" xfId="0" applyNumberFormat="1" applyFont="1" applyBorder="1"/>
    <xf numFmtId="0" fontId="26" fillId="0" borderId="1" xfId="0" applyFont="1" applyFill="1" applyBorder="1"/>
    <xf numFmtId="170" fontId="27" fillId="0" borderId="1" xfId="2" applyNumberFormat="1" applyFont="1" applyBorder="1" applyAlignment="1"/>
    <xf numFmtId="0" fontId="27" fillId="0" borderId="1" xfId="0" applyFont="1" applyFill="1" applyBorder="1"/>
    <xf numFmtId="2" fontId="27" fillId="0" borderId="1" xfId="0" applyNumberFormat="1" applyFont="1" applyBorder="1"/>
    <xf numFmtId="2" fontId="26" fillId="0" borderId="0" xfId="0" applyNumberFormat="1" applyFont="1"/>
    <xf numFmtId="0" fontId="23" fillId="5" borderId="1" xfId="0" applyFont="1" applyFill="1" applyBorder="1" applyAlignment="1">
      <alignment horizontal="center"/>
    </xf>
    <xf numFmtId="0" fontId="4" fillId="0" borderId="1" xfId="0" applyFont="1" applyBorder="1" applyAlignment="1">
      <alignment horizontal="center"/>
    </xf>
    <xf numFmtId="0" fontId="28"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6" fillId="0" borderId="1" xfId="0" applyFont="1" applyBorder="1" applyAlignment="1">
      <alignment wrapText="1"/>
    </xf>
    <xf numFmtId="2" fontId="26" fillId="0" borderId="1" xfId="0" applyNumberFormat="1" applyFont="1" applyBorder="1"/>
    <xf numFmtId="43" fontId="26" fillId="0" borderId="0" xfId="0" applyNumberFormat="1" applyFont="1"/>
    <xf numFmtId="170" fontId="26" fillId="0" borderId="0" xfId="2" applyNumberFormat="1" applyFont="1"/>
    <xf numFmtId="0" fontId="23" fillId="5" borderId="1" xfId="0" applyFont="1" applyFill="1" applyBorder="1"/>
    <xf numFmtId="9" fontId="26" fillId="0" borderId="1" xfId="1" applyFont="1" applyBorder="1"/>
    <xf numFmtId="170" fontId="27" fillId="0" borderId="1" xfId="2" applyNumberFormat="1" applyFont="1" applyBorder="1"/>
    <xf numFmtId="0" fontId="27" fillId="0" borderId="0" xfId="0" applyFont="1"/>
    <xf numFmtId="10" fontId="27" fillId="0" borderId="0" xfId="1" applyNumberFormat="1" applyFont="1"/>
    <xf numFmtId="0" fontId="20" fillId="2" borderId="18" xfId="0" applyFont="1" applyFill="1" applyBorder="1" applyAlignment="1">
      <alignment vertical="center"/>
    </xf>
    <xf numFmtId="0" fontId="20" fillId="2" borderId="14" xfId="0" applyFont="1" applyFill="1" applyBorder="1" applyAlignment="1">
      <alignment horizontal="center"/>
    </xf>
    <xf numFmtId="0" fontId="20" fillId="2" borderId="1" xfId="0" applyFont="1" applyFill="1" applyBorder="1" applyAlignment="1">
      <alignment horizontal="center"/>
    </xf>
    <xf numFmtId="0" fontId="28" fillId="0" borderId="5" xfId="0" applyFont="1" applyFill="1" applyBorder="1" applyAlignment="1">
      <alignment vertical="center"/>
    </xf>
    <xf numFmtId="37" fontId="29" fillId="0" borderId="1" xfId="3" applyNumberFormat="1" applyFont="1" applyFill="1" applyBorder="1" applyAlignment="1">
      <alignment vertical="center"/>
    </xf>
    <xf numFmtId="3" fontId="30" fillId="0" borderId="1" xfId="9" applyNumberFormat="1" applyFont="1" applyFill="1" applyBorder="1" applyAlignment="1">
      <alignment horizontal="right" vertical="center"/>
    </xf>
    <xf numFmtId="0" fontId="31" fillId="0" borderId="5" xfId="0" applyFont="1" applyFill="1" applyBorder="1" applyAlignment="1">
      <alignment vertical="center"/>
    </xf>
    <xf numFmtId="4" fontId="28" fillId="0" borderId="1" xfId="3" applyNumberFormat="1" applyFont="1" applyFill="1" applyBorder="1" applyAlignment="1">
      <alignment vertical="center"/>
    </xf>
    <xf numFmtId="0" fontId="29" fillId="0" borderId="5" xfId="0" applyFont="1" applyFill="1" applyBorder="1" applyAlignment="1">
      <alignment horizontal="left" vertical="center"/>
    </xf>
    <xf numFmtId="4" fontId="32"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8" fillId="0" borderId="5" xfId="0" applyFont="1" applyFill="1" applyBorder="1" applyAlignment="1">
      <alignment horizontal="left" vertical="center" indent="1"/>
    </xf>
    <xf numFmtId="3" fontId="28" fillId="0" borderId="1" xfId="3" applyNumberFormat="1" applyFont="1" applyFill="1" applyBorder="1" applyAlignment="1">
      <alignment vertical="center"/>
    </xf>
    <xf numFmtId="0" fontId="28" fillId="0" borderId="5" xfId="0" applyFont="1" applyFill="1" applyBorder="1" applyAlignment="1">
      <alignment horizontal="left" vertical="center"/>
    </xf>
    <xf numFmtId="0" fontId="29" fillId="0" borderId="5" xfId="0" applyFont="1" applyFill="1" applyBorder="1" applyAlignment="1">
      <alignment vertical="center"/>
    </xf>
    <xf numFmtId="3" fontId="29" fillId="0" borderId="1" xfId="9" applyNumberFormat="1" applyFont="1" applyFill="1" applyBorder="1" applyAlignment="1">
      <alignment vertical="center"/>
    </xf>
    <xf numFmtId="3" fontId="28" fillId="0" borderId="1" xfId="9" applyNumberFormat="1" applyFont="1" applyFill="1" applyBorder="1" applyAlignment="1">
      <alignment vertical="center"/>
    </xf>
    <xf numFmtId="3" fontId="32" fillId="0" borderId="1" xfId="3" applyNumberFormat="1" applyFont="1" applyFill="1" applyBorder="1" applyAlignment="1">
      <alignment vertical="center"/>
    </xf>
    <xf numFmtId="3" fontId="30" fillId="0" borderId="1" xfId="3" applyNumberFormat="1" applyFont="1" applyFill="1" applyBorder="1" applyAlignment="1">
      <alignment vertical="center"/>
    </xf>
    <xf numFmtId="3" fontId="28"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8" fillId="0" borderId="1" xfId="0" applyNumberFormat="1" applyFont="1" applyFill="1" applyBorder="1" applyAlignment="1">
      <alignment vertical="center"/>
    </xf>
    <xf numFmtId="0" fontId="33" fillId="0" borderId="5" xfId="0" applyFont="1" applyFill="1" applyBorder="1" applyAlignment="1">
      <alignment vertical="center"/>
    </xf>
    <xf numFmtId="4" fontId="34" fillId="0" borderId="1" xfId="0" applyNumberFormat="1" applyFont="1" applyFill="1" applyBorder="1" applyAlignment="1">
      <alignment vertical="center"/>
    </xf>
    <xf numFmtId="0" fontId="35" fillId="0" borderId="5" xfId="0" applyFont="1" applyFill="1" applyBorder="1" applyAlignment="1">
      <alignment vertical="center"/>
    </xf>
    <xf numFmtId="4" fontId="35" fillId="0" borderId="1" xfId="9" applyNumberFormat="1" applyFont="1" applyFill="1" applyBorder="1" applyAlignment="1">
      <alignment vertical="center"/>
    </xf>
    <xf numFmtId="0" fontId="35" fillId="0" borderId="6" xfId="0" applyFont="1" applyFill="1" applyBorder="1" applyAlignment="1">
      <alignment vertical="center"/>
    </xf>
    <xf numFmtId="4" fontId="35" fillId="0" borderId="7" xfId="0" applyNumberFormat="1" applyFont="1" applyFill="1" applyBorder="1" applyAlignment="1">
      <alignment vertical="center"/>
    </xf>
    <xf numFmtId="0" fontId="20"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8" fillId="0" borderId="1" xfId="9" applyNumberFormat="1" applyFont="1" applyFill="1" applyBorder="1" applyAlignment="1">
      <alignment vertical="center"/>
    </xf>
    <xf numFmtId="173" fontId="29" fillId="0" borderId="1" xfId="9" applyNumberFormat="1" applyFont="1" applyFill="1" applyBorder="1" applyAlignment="1">
      <alignment vertical="center"/>
    </xf>
    <xf numFmtId="0" fontId="20" fillId="5" borderId="1" xfId="0" applyFont="1" applyFill="1" applyBorder="1" applyAlignment="1">
      <alignment vertical="center"/>
    </xf>
    <xf numFmtId="0" fontId="20" fillId="5" borderId="1" xfId="0" applyFont="1" applyFill="1" applyBorder="1" applyAlignment="1">
      <alignment horizontal="center" vertical="center"/>
    </xf>
    <xf numFmtId="168" fontId="23" fillId="5" borderId="1" xfId="3" applyNumberFormat="1" applyFont="1" applyFill="1" applyBorder="1" applyAlignment="1">
      <alignment horizontal="center"/>
    </xf>
    <xf numFmtId="0" fontId="29" fillId="0" borderId="1" xfId="0" applyFont="1" applyBorder="1" applyAlignment="1">
      <alignment vertical="center"/>
    </xf>
    <xf numFmtId="0" fontId="29" fillId="0" borderId="1" xfId="0" applyFont="1" applyBorder="1" applyAlignment="1">
      <alignment horizontal="center" vertical="center"/>
    </xf>
    <xf numFmtId="168" fontId="28" fillId="0" borderId="1" xfId="3" applyNumberFormat="1" applyFont="1" applyFill="1" applyBorder="1"/>
    <xf numFmtId="0" fontId="29" fillId="0" borderId="1" xfId="0" applyFont="1" applyBorder="1"/>
    <xf numFmtId="0" fontId="28" fillId="0" borderId="1" xfId="0" applyFont="1" applyBorder="1"/>
    <xf numFmtId="168" fontId="29" fillId="0" borderId="1" xfId="0" applyNumberFormat="1" applyFont="1" applyBorder="1"/>
    <xf numFmtId="0" fontId="6" fillId="2" borderId="1" xfId="0" applyFont="1" applyFill="1" applyBorder="1"/>
    <xf numFmtId="0" fontId="37" fillId="0" borderId="1" xfId="0" applyFont="1" applyFill="1" applyBorder="1"/>
    <xf numFmtId="0" fontId="38" fillId="0" borderId="1" xfId="0" applyFont="1" applyFill="1" applyBorder="1" applyAlignment="1">
      <alignment horizontal="center"/>
    </xf>
    <xf numFmtId="0" fontId="26" fillId="0" borderId="1" xfId="0" applyFont="1" applyFill="1" applyBorder="1" applyAlignment="1">
      <alignment horizontal="left"/>
    </xf>
    <xf numFmtId="0" fontId="6" fillId="0" borderId="1" xfId="0" applyFont="1" applyFill="1" applyBorder="1" applyAlignment="1">
      <alignment horizontal="left"/>
    </xf>
    <xf numFmtId="168" fontId="28" fillId="0" borderId="1" xfId="0" applyNumberFormat="1" applyFont="1" applyFill="1" applyBorder="1"/>
    <xf numFmtId="168" fontId="29" fillId="0" borderId="1" xfId="0" applyNumberFormat="1" applyFont="1" applyFill="1" applyBorder="1"/>
    <xf numFmtId="0" fontId="20" fillId="2" borderId="1" xfId="8" applyFont="1" applyFill="1" applyBorder="1" applyAlignment="1" applyProtection="1"/>
    <xf numFmtId="0" fontId="6" fillId="0" borderId="1" xfId="0" applyFont="1" applyFill="1" applyBorder="1" applyAlignment="1">
      <alignment horizontal="center"/>
    </xf>
    <xf numFmtId="0" fontId="26" fillId="0" borderId="0" xfId="0" applyFont="1" applyAlignment="1">
      <alignment horizontal="left"/>
    </xf>
    <xf numFmtId="168" fontId="28"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6" fillId="0" borderId="0" xfId="0" applyNumberFormat="1" applyFont="1" applyBorder="1"/>
    <xf numFmtId="0" fontId="26" fillId="0" borderId="0" xfId="0" applyFont="1" applyFill="1" applyBorder="1" applyAlignment="1">
      <alignment wrapText="1"/>
    </xf>
    <xf numFmtId="9" fontId="26" fillId="0" borderId="0" xfId="0" applyNumberFormat="1" applyFont="1"/>
    <xf numFmtId="10" fontId="4" fillId="0" borderId="0" xfId="1" applyNumberFormat="1" applyFont="1" applyBorder="1"/>
    <xf numFmtId="9" fontId="26" fillId="0" borderId="0" xfId="0" applyNumberFormat="1" applyFont="1" applyBorder="1"/>
    <xf numFmtId="9" fontId="26" fillId="0" borderId="0" xfId="0" applyNumberFormat="1" applyFont="1" applyFill="1" applyBorder="1"/>
    <xf numFmtId="9" fontId="26" fillId="0" borderId="0" xfId="1" applyFont="1"/>
    <xf numFmtId="10" fontId="26" fillId="0" borderId="0" xfId="0" applyNumberFormat="1" applyFont="1"/>
    <xf numFmtId="165" fontId="26" fillId="0" borderId="0" xfId="0" applyNumberFormat="1" applyFont="1" applyBorder="1"/>
    <xf numFmtId="0" fontId="26" fillId="0" borderId="0" xfId="0" applyFont="1" applyBorder="1"/>
    <xf numFmtId="0" fontId="26" fillId="0" borderId="0" xfId="0" applyFont="1" applyFill="1" applyBorder="1"/>
    <xf numFmtId="166" fontId="26" fillId="0" borderId="0" xfId="0" applyNumberFormat="1" applyFont="1" applyBorder="1"/>
    <xf numFmtId="1" fontId="26" fillId="0" borderId="0" xfId="0" applyNumberFormat="1" applyFont="1" applyBorder="1"/>
    <xf numFmtId="9" fontId="26" fillId="0" borderId="1" xfId="0" applyNumberFormat="1" applyFont="1" applyBorder="1"/>
    <xf numFmtId="166" fontId="26" fillId="0" borderId="1" xfId="0" applyNumberFormat="1" applyFont="1" applyBorder="1"/>
    <xf numFmtId="0" fontId="27" fillId="0" borderId="0" xfId="0" applyFont="1" applyAlignment="1">
      <alignment horizontal="center"/>
    </xf>
    <xf numFmtId="9" fontId="27" fillId="0" borderId="0" xfId="0" applyNumberFormat="1" applyFont="1" applyAlignment="1">
      <alignment horizontal="center"/>
    </xf>
    <xf numFmtId="10" fontId="27" fillId="0" borderId="0" xfId="0" applyNumberFormat="1" applyFont="1" applyAlignment="1">
      <alignment horizontal="center"/>
    </xf>
    <xf numFmtId="170" fontId="26" fillId="0" borderId="1" xfId="2" applyNumberFormat="1" applyFont="1" applyFill="1" applyBorder="1"/>
    <xf numFmtId="0" fontId="27" fillId="0" borderId="1" xfId="0" applyFont="1" applyBorder="1" applyAlignment="1">
      <alignment wrapText="1"/>
    </xf>
    <xf numFmtId="0" fontId="27" fillId="0" borderId="0" xfId="0" applyFont="1" applyBorder="1" applyAlignment="1">
      <alignment horizontal="center"/>
    </xf>
    <xf numFmtId="9" fontId="27" fillId="0" borderId="0" xfId="0" applyNumberFormat="1" applyFont="1" applyBorder="1" applyAlignment="1">
      <alignment horizontal="center"/>
    </xf>
    <xf numFmtId="10" fontId="27" fillId="0" borderId="0" xfId="0" applyNumberFormat="1" applyFont="1" applyBorder="1" applyAlignment="1">
      <alignment horizontal="center"/>
    </xf>
    <xf numFmtId="168" fontId="26" fillId="0" borderId="1" xfId="0" applyNumberFormat="1" applyFont="1" applyBorder="1"/>
    <xf numFmtId="168" fontId="27" fillId="0" borderId="1" xfId="3" applyNumberFormat="1" applyFont="1" applyBorder="1"/>
    <xf numFmtId="168" fontId="27" fillId="0" borderId="1" xfId="0" applyNumberFormat="1" applyFont="1" applyBorder="1"/>
    <xf numFmtId="170" fontId="26" fillId="0" borderId="1" xfId="0" applyNumberFormat="1" applyFont="1" applyBorder="1"/>
    <xf numFmtId="166" fontId="26" fillId="0" borderId="0" xfId="0" applyNumberFormat="1" applyFont="1"/>
    <xf numFmtId="168" fontId="26" fillId="0" borderId="1" xfId="3" applyNumberFormat="1" applyFont="1" applyFill="1" applyBorder="1"/>
    <xf numFmtId="168" fontId="26" fillId="0" borderId="1" xfId="0" applyNumberFormat="1" applyFont="1" applyFill="1" applyBorder="1"/>
    <xf numFmtId="168" fontId="26" fillId="0" borderId="0" xfId="0" applyNumberFormat="1" applyFont="1"/>
    <xf numFmtId="170" fontId="26" fillId="0" borderId="16" xfId="2" applyNumberFormat="1" applyFont="1" applyBorder="1"/>
    <xf numFmtId="170" fontId="27" fillId="0" borderId="1" xfId="2" applyNumberFormat="1" applyFont="1" applyBorder="1" applyAlignment="1">
      <alignment wrapText="1"/>
    </xf>
    <xf numFmtId="0" fontId="25" fillId="0" borderId="0" xfId="0" applyFont="1" applyAlignment="1"/>
    <xf numFmtId="167" fontId="26" fillId="0" borderId="0" xfId="0" applyNumberFormat="1" applyFont="1"/>
    <xf numFmtId="0" fontId="20" fillId="2" borderId="1" xfId="0" applyFont="1" applyFill="1" applyBorder="1" applyAlignment="1">
      <alignment horizontal="right"/>
    </xf>
    <xf numFmtId="2" fontId="20" fillId="2" borderId="1" xfId="0" applyNumberFormat="1" applyFont="1" applyFill="1" applyBorder="1" applyAlignment="1">
      <alignment horizontal="right"/>
    </xf>
    <xf numFmtId="0" fontId="39" fillId="2" borderId="1" xfId="0" applyFont="1" applyFill="1" applyBorder="1" applyAlignment="1">
      <alignment vertical="center" wrapText="1"/>
    </xf>
    <xf numFmtId="0" fontId="39" fillId="2" borderId="1" xfId="0" applyFont="1" applyFill="1" applyBorder="1" applyAlignment="1">
      <alignment horizontal="center" vertical="center" wrapText="1"/>
    </xf>
    <xf numFmtId="0" fontId="40" fillId="0" borderId="1" xfId="0" applyFont="1" applyBorder="1" applyAlignment="1">
      <alignment horizontal="right" vertical="center" wrapText="1"/>
    </xf>
    <xf numFmtId="168" fontId="41" fillId="0" borderId="1" xfId="3" applyNumberFormat="1" applyFont="1" applyBorder="1" applyAlignment="1">
      <alignment horizontal="righ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170" fontId="28" fillId="0" borderId="1" xfId="2"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Fill="1" applyBorder="1" applyAlignment="1">
      <alignment vertical="center" wrapText="1"/>
    </xf>
    <xf numFmtId="170" fontId="40" fillId="0" borderId="1" xfId="2" applyNumberFormat="1" applyFont="1" applyFill="1" applyBorder="1" applyAlignment="1">
      <alignment horizontal="right" vertical="center" wrapText="1"/>
    </xf>
    <xf numFmtId="0" fontId="40"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39" fillId="2" borderId="8" xfId="0" applyFont="1" applyFill="1" applyBorder="1" applyAlignment="1">
      <alignment vertical="center" wrapText="1"/>
    </xf>
    <xf numFmtId="0" fontId="39" fillId="2" borderId="4" xfId="0" applyFont="1" applyFill="1" applyBorder="1" applyAlignment="1">
      <alignment horizontal="center" vertical="center" wrapText="1"/>
    </xf>
    <xf numFmtId="168" fontId="41" fillId="0" borderId="1" xfId="3" applyNumberFormat="1" applyFont="1" applyFill="1" applyBorder="1" applyAlignment="1">
      <alignment horizontal="right" vertical="center" wrapText="1"/>
    </xf>
    <xf numFmtId="168" fontId="27" fillId="0" borderId="1" xfId="3" applyNumberFormat="1" applyFont="1" applyBorder="1" applyAlignment="1">
      <alignment horizontal="right" vertical="center" wrapText="1"/>
    </xf>
    <xf numFmtId="0" fontId="26" fillId="6" borderId="1" xfId="0" applyFont="1" applyFill="1" applyBorder="1"/>
    <xf numFmtId="168" fontId="40" fillId="6" borderId="1" xfId="3" applyNumberFormat="1" applyFont="1" applyFill="1" applyBorder="1" applyAlignment="1">
      <alignment horizontal="right" vertical="center" wrapText="1"/>
    </xf>
    <xf numFmtId="0" fontId="41" fillId="6" borderId="1" xfId="0" applyFont="1" applyFill="1" applyBorder="1" applyAlignment="1">
      <alignment vertical="center" wrapText="1"/>
    </xf>
    <xf numFmtId="0" fontId="41" fillId="6" borderId="1" xfId="0" applyFont="1" applyFill="1" applyBorder="1" applyAlignment="1">
      <alignment horizontal="center" vertical="center" wrapText="1"/>
    </xf>
    <xf numFmtId="170" fontId="41"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0" fillId="6" borderId="1" xfId="0" applyFont="1" applyFill="1" applyBorder="1" applyAlignment="1">
      <alignment horizontal="center" vertical="center" wrapText="1"/>
    </xf>
    <xf numFmtId="0" fontId="40" fillId="6" borderId="1" xfId="0" applyFont="1" applyFill="1" applyBorder="1" applyAlignment="1">
      <alignment vertical="center" wrapText="1"/>
    </xf>
    <xf numFmtId="0" fontId="41" fillId="6" borderId="16" xfId="0" applyFont="1" applyFill="1" applyBorder="1" applyAlignment="1">
      <alignment horizontal="center" vertical="center" wrapText="1"/>
    </xf>
    <xf numFmtId="9" fontId="26" fillId="6" borderId="1" xfId="0" applyNumberFormat="1" applyFont="1" applyFill="1" applyBorder="1"/>
    <xf numFmtId="0" fontId="26" fillId="6" borderId="0" xfId="0" applyFont="1" applyFill="1"/>
    <xf numFmtId="0" fontId="28" fillId="6" borderId="0" xfId="0" applyFont="1" applyFill="1"/>
    <xf numFmtId="0" fontId="29" fillId="6" borderId="1" xfId="0" applyFont="1" applyFill="1" applyBorder="1"/>
    <xf numFmtId="0" fontId="28" fillId="6" borderId="1" xfId="0" applyFont="1" applyFill="1" applyBorder="1"/>
    <xf numFmtId="2" fontId="28" fillId="6" borderId="1" xfId="0" applyNumberFormat="1" applyFont="1" applyFill="1" applyBorder="1"/>
    <xf numFmtId="177" fontId="28" fillId="6" borderId="1" xfId="0" applyNumberFormat="1" applyFont="1" applyFill="1" applyBorder="1"/>
    <xf numFmtId="2" fontId="29" fillId="6" borderId="1" xfId="0" applyNumberFormat="1" applyFont="1" applyFill="1" applyBorder="1"/>
    <xf numFmtId="170" fontId="26" fillId="6" borderId="1" xfId="2" applyNumberFormat="1" applyFont="1" applyFill="1" applyBorder="1"/>
    <xf numFmtId="0" fontId="26" fillId="6" borderId="1" xfId="0" applyFont="1" applyFill="1" applyBorder="1" applyAlignment="1">
      <alignment wrapText="1"/>
    </xf>
    <xf numFmtId="170" fontId="26" fillId="6" borderId="1" xfId="2" applyNumberFormat="1" applyFont="1" applyFill="1" applyBorder="1" applyAlignment="1">
      <alignment wrapText="1"/>
    </xf>
    <xf numFmtId="170" fontId="27" fillId="6" borderId="1" xfId="2" applyNumberFormat="1" applyFont="1" applyFill="1" applyBorder="1"/>
    <xf numFmtId="165" fontId="26" fillId="6" borderId="0" xfId="0" applyNumberFormat="1" applyFont="1" applyFill="1" applyBorder="1"/>
    <xf numFmtId="0" fontId="41" fillId="0" borderId="1" xfId="0" applyFont="1" applyBorder="1" applyAlignment="1">
      <alignment horizontal="center" vertical="center" wrapText="1"/>
    </xf>
    <xf numFmtId="174" fontId="26" fillId="0" borderId="0" xfId="0" applyNumberFormat="1" applyFont="1"/>
    <xf numFmtId="170" fontId="0" fillId="0" borderId="1" xfId="0" applyNumberFormat="1" applyFont="1" applyBorder="1"/>
    <xf numFmtId="0" fontId="27"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7" fillId="0" borderId="0" xfId="0" applyFont="1" applyBorder="1"/>
    <xf numFmtId="170" fontId="27" fillId="0" borderId="0" xfId="2" applyNumberFormat="1" applyFont="1" applyBorder="1"/>
    <xf numFmtId="0" fontId="40" fillId="0" borderId="1" xfId="0" applyFont="1" applyBorder="1" applyAlignment="1">
      <alignment horizontal="center" vertical="center" wrapText="1"/>
    </xf>
    <xf numFmtId="9" fontId="2" fillId="7" borderId="0" xfId="0" applyNumberFormat="1" applyFont="1" applyFill="1"/>
    <xf numFmtId="9" fontId="26" fillId="7" borderId="0" xfId="0" applyNumberFormat="1" applyFont="1" applyFill="1"/>
    <xf numFmtId="0" fontId="26" fillId="7" borderId="0" xfId="0" applyNumberFormat="1" applyFont="1" applyFill="1"/>
    <xf numFmtId="9" fontId="26" fillId="7" borderId="1" xfId="0" applyNumberFormat="1" applyFont="1" applyFill="1" applyBorder="1"/>
    <xf numFmtId="0" fontId="26" fillId="7" borderId="0" xfId="0" applyFont="1" applyFill="1"/>
    <xf numFmtId="0" fontId="27" fillId="7" borderId="1" xfId="0" applyFont="1" applyFill="1" applyBorder="1"/>
    <xf numFmtId="168" fontId="27" fillId="7" borderId="1" xfId="3" applyNumberFormat="1" applyFont="1" applyFill="1" applyBorder="1"/>
    <xf numFmtId="9" fontId="14" fillId="7" borderId="0" xfId="1" applyFont="1" applyFill="1" applyBorder="1"/>
    <xf numFmtId="9" fontId="41"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4" fillId="0" borderId="0" xfId="0" applyFont="1"/>
    <xf numFmtId="0" fontId="0" fillId="0" borderId="0" xfId="0" applyAlignment="1">
      <alignment wrapText="1"/>
    </xf>
    <xf numFmtId="0" fontId="53" fillId="5" borderId="1" xfId="0" applyFont="1" applyFill="1" applyBorder="1"/>
    <xf numFmtId="0" fontId="53" fillId="5" borderId="1" xfId="0" applyFont="1" applyFill="1" applyBorder="1" applyAlignment="1">
      <alignment wrapText="1"/>
    </xf>
    <xf numFmtId="0" fontId="0" fillId="0" borderId="1" xfId="0" applyBorder="1" applyAlignment="1">
      <alignment horizontal="center"/>
    </xf>
    <xf numFmtId="0" fontId="53"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6" fillId="0" borderId="1" xfId="0" applyFont="1" applyFill="1" applyBorder="1" applyAlignment="1">
      <alignment wrapText="1"/>
    </xf>
    <xf numFmtId="168" fontId="26" fillId="0" borderId="1" xfId="1" applyNumberFormat="1" applyFont="1" applyBorder="1"/>
    <xf numFmtId="166" fontId="26" fillId="0" borderId="1" xfId="0" applyNumberFormat="1" applyFont="1" applyFill="1" applyBorder="1"/>
    <xf numFmtId="9" fontId="27"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0" fontId="0" fillId="0" borderId="0" xfId="0" applyAlignment="1">
      <alignment horizontal="center"/>
    </xf>
    <xf numFmtId="170" fontId="26" fillId="0" borderId="0" xfId="2" applyNumberFormat="1" applyFont="1" applyBorder="1"/>
    <xf numFmtId="0" fontId="53" fillId="5" borderId="1" xfId="0" applyFont="1" applyFill="1" applyBorder="1" applyAlignment="1">
      <alignment horizontal="center"/>
    </xf>
    <xf numFmtId="0" fontId="53"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6"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3" fillId="7" borderId="1" xfId="0" applyNumberFormat="1" applyFont="1" applyFill="1" applyBorder="1"/>
    <xf numFmtId="9" fontId="53"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39" fillId="2" borderId="1" xfId="0" applyFont="1" applyFill="1" applyBorder="1" applyAlignment="1">
      <alignment horizontal="center" vertical="center" wrapText="1"/>
    </xf>
    <xf numFmtId="0" fontId="27" fillId="0" borderId="0" xfId="0" applyFont="1" applyAlignment="1">
      <alignment horizontal="center"/>
    </xf>
    <xf numFmtId="9" fontId="0" fillId="0" borderId="1" xfId="0" applyNumberFormat="1" applyBorder="1"/>
    <xf numFmtId="0" fontId="26" fillId="7" borderId="1" xfId="0" applyFont="1" applyFill="1" applyBorder="1"/>
    <xf numFmtId="9" fontId="26"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7"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6" fillId="0" borderId="1" xfId="0" applyNumberFormat="1" applyFont="1" applyBorder="1"/>
    <xf numFmtId="0" fontId="51" fillId="0" borderId="0" xfId="0" applyFont="1" applyAlignment="1"/>
    <xf numFmtId="0" fontId="29" fillId="5" borderId="1" xfId="0" applyFont="1" applyFill="1" applyBorder="1"/>
    <xf numFmtId="9" fontId="57" fillId="7" borderId="1" xfId="0" applyNumberFormat="1" applyFont="1" applyFill="1" applyBorder="1"/>
    <xf numFmtId="171" fontId="57" fillId="7" borderId="1" xfId="0" applyNumberFormat="1" applyFont="1" applyFill="1" applyBorder="1"/>
    <xf numFmtId="0" fontId="56" fillId="0" borderId="0" xfId="0" applyFont="1" applyAlignment="1"/>
    <xf numFmtId="172" fontId="27" fillId="6" borderId="1" xfId="0" applyNumberFormat="1" applyFont="1" applyFill="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0" borderId="1" xfId="0" applyFont="1" applyBorder="1" applyAlignment="1">
      <alignment horizontal="right" vertical="center" wrapText="1"/>
    </xf>
    <xf numFmtId="0" fontId="43" fillId="0" borderId="1" xfId="0" applyFont="1" applyBorder="1" applyAlignment="1">
      <alignment vertical="center" wrapText="1"/>
    </xf>
    <xf numFmtId="168" fontId="43" fillId="0" borderId="1" xfId="3" applyNumberFormat="1" applyFont="1" applyFill="1" applyBorder="1" applyAlignment="1">
      <alignment horizontal="right" vertical="center" wrapText="1"/>
    </xf>
    <xf numFmtId="168" fontId="58" fillId="0" borderId="1" xfId="3" applyNumberFormat="1" applyFont="1" applyBorder="1" applyAlignment="1">
      <alignment horizontal="right" vertical="center" wrapText="1"/>
    </xf>
    <xf numFmtId="0" fontId="42" fillId="2" borderId="22" xfId="0" applyFont="1" applyFill="1" applyBorder="1" applyAlignment="1">
      <alignment horizontal="center" vertical="center" wrapText="1"/>
    </xf>
    <xf numFmtId="170" fontId="43" fillId="0" borderId="1" xfId="2" applyNumberFormat="1" applyFont="1" applyBorder="1" applyAlignment="1">
      <alignment vertical="center" wrapText="1"/>
    </xf>
    <xf numFmtId="9" fontId="59" fillId="7" borderId="1" xfId="0" applyNumberFormat="1" applyFont="1" applyFill="1" applyBorder="1"/>
    <xf numFmtId="170" fontId="59" fillId="0" borderId="1" xfId="0" applyNumberFormat="1" applyFont="1" applyBorder="1"/>
    <xf numFmtId="0" fontId="59" fillId="0" borderId="1" xfId="0" applyFont="1" applyBorder="1"/>
    <xf numFmtId="170" fontId="58" fillId="0" borderId="1" xfId="2" applyNumberFormat="1" applyFont="1" applyBorder="1" applyAlignment="1">
      <alignment horizontal="center" vertical="center" wrapText="1"/>
    </xf>
    <xf numFmtId="0" fontId="42" fillId="5" borderId="1" xfId="0" applyFont="1" applyFill="1" applyBorder="1" applyAlignment="1">
      <alignment vertical="center" wrapText="1"/>
    </xf>
    <xf numFmtId="0" fontId="42" fillId="5" borderId="1" xfId="0" applyFont="1" applyFill="1" applyBorder="1" applyAlignment="1">
      <alignment vertical="center"/>
    </xf>
    <xf numFmtId="0" fontId="42" fillId="5" borderId="1" xfId="0" applyFont="1" applyFill="1" applyBorder="1" applyAlignment="1">
      <alignment horizontal="center" vertical="center"/>
    </xf>
    <xf numFmtId="0" fontId="42" fillId="5" borderId="1" xfId="0" applyFont="1" applyFill="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10" fontId="43" fillId="0" borderId="1" xfId="1"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2" fontId="4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3" fillId="0" borderId="1" xfId="0" applyFont="1" applyFill="1" applyBorder="1" applyAlignment="1">
      <alignment horizontal="left" vertical="center" wrapText="1"/>
    </xf>
    <xf numFmtId="165" fontId="28"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1" fillId="5" borderId="11" xfId="0" applyFont="1" applyFill="1" applyBorder="1" applyAlignment="1">
      <alignment horizontal="center"/>
    </xf>
    <xf numFmtId="0" fontId="0" fillId="0" borderId="1" xfId="0" applyNumberFormat="1" applyFill="1" applyBorder="1"/>
    <xf numFmtId="9" fontId="43"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3" fillId="0" borderId="1" xfId="3" applyNumberFormat="1" applyFont="1" applyFill="1" applyBorder="1" applyAlignment="1">
      <alignment horizontal="right" vertical="center" wrapText="1"/>
    </xf>
    <xf numFmtId="0" fontId="28" fillId="0" borderId="1" xfId="0" applyFont="1" applyFill="1" applyBorder="1" applyAlignment="1">
      <alignment vertical="center" wrapText="1"/>
    </xf>
    <xf numFmtId="0" fontId="26" fillId="0" borderId="1" xfId="0" applyFont="1" applyFill="1" applyBorder="1" applyAlignment="1">
      <alignment vertical="center" wrapText="1"/>
    </xf>
    <xf numFmtId="170" fontId="28" fillId="0" borderId="1" xfId="2" applyNumberFormat="1" applyFont="1" applyFill="1" applyBorder="1" applyAlignment="1">
      <alignment horizontal="left" vertical="center" wrapText="1"/>
    </xf>
    <xf numFmtId="170" fontId="28" fillId="0" borderId="1" xfId="2" applyNumberFormat="1" applyFont="1" applyFill="1" applyBorder="1" applyAlignment="1">
      <alignment vertical="center" wrapText="1"/>
    </xf>
    <xf numFmtId="170" fontId="28" fillId="0" borderId="1" xfId="2" applyNumberFormat="1" applyFont="1" applyFill="1" applyBorder="1" applyAlignment="1">
      <alignment horizontal="right" vertical="center" wrapText="1"/>
    </xf>
    <xf numFmtId="0" fontId="41" fillId="0" borderId="1" xfId="0" applyFont="1" applyFill="1" applyBorder="1" applyAlignment="1">
      <alignment horizontal="center" vertical="center" wrapText="1"/>
    </xf>
    <xf numFmtId="0" fontId="40" fillId="0" borderId="1" xfId="0" applyFont="1" applyFill="1" applyBorder="1" applyAlignment="1">
      <alignment horizontal="center" vertical="center" wrapText="1"/>
    </xf>
    <xf numFmtId="168" fontId="40" fillId="0" borderId="1" xfId="3" applyNumberFormat="1" applyFont="1" applyFill="1" applyBorder="1" applyAlignment="1">
      <alignment horizontal="righ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168" fontId="12" fillId="0" borderId="1" xfId="3" applyNumberFormat="1" applyFont="1" applyFill="1" applyBorder="1" applyAlignment="1">
      <alignment horizontal="center" vertical="center" wrapText="1"/>
    </xf>
    <xf numFmtId="168" fontId="12" fillId="0" borderId="1" xfId="3" applyNumberFormat="1" applyFont="1" applyFill="1" applyBorder="1" applyAlignment="1">
      <alignment horizontal="right" vertical="center" wrapText="1"/>
    </xf>
    <xf numFmtId="168" fontId="40" fillId="0" borderId="1" xfId="3" applyNumberFormat="1" applyFont="1" applyFill="1" applyBorder="1" applyAlignment="1">
      <alignment horizontal="center" vertical="center" wrapText="1"/>
    </xf>
    <xf numFmtId="0" fontId="40" fillId="0" borderId="9" xfId="0" applyFont="1" applyFill="1" applyBorder="1" applyAlignment="1">
      <alignment horizontal="right" vertical="center" wrapText="1"/>
    </xf>
    <xf numFmtId="0" fontId="40" fillId="0" borderId="10" xfId="0" applyFont="1" applyFill="1" applyBorder="1" applyAlignment="1">
      <alignment vertical="center" wrapText="1"/>
    </xf>
    <xf numFmtId="168" fontId="41" fillId="0" borderId="10" xfId="3" applyNumberFormat="1" applyFont="1" applyFill="1" applyBorder="1" applyAlignment="1">
      <alignment horizontal="right" vertical="center" wrapText="1"/>
    </xf>
    <xf numFmtId="0" fontId="67" fillId="0" borderId="0" xfId="0" applyFont="1"/>
    <xf numFmtId="0" fontId="28" fillId="0" borderId="1" xfId="0" applyFont="1" applyFill="1" applyBorder="1" applyAlignment="1">
      <alignment horizontal="right" vertical="center" wrapText="1"/>
    </xf>
    <xf numFmtId="0" fontId="31" fillId="0" borderId="1" xfId="0" applyFont="1" applyFill="1" applyBorder="1" applyAlignment="1">
      <alignment vertical="center" wrapText="1"/>
    </xf>
    <xf numFmtId="0" fontId="53" fillId="5" borderId="1" xfId="0" applyFont="1" applyFill="1" applyBorder="1" applyAlignment="1">
      <alignment horizontal="center" wrapText="1"/>
    </xf>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0"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0"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2" fillId="5" borderId="12" xfId="0" applyFont="1" applyFill="1" applyBorder="1" applyAlignment="1">
      <alignment horizontal="center" vertical="center" wrapText="1"/>
    </xf>
    <xf numFmtId="0" fontId="42" fillId="5" borderId="13" xfId="0" applyFont="1" applyFill="1" applyBorder="1" applyAlignment="1">
      <alignment horizontal="center" vertical="center" wrapText="1"/>
    </xf>
    <xf numFmtId="0" fontId="58" fillId="0" borderId="1" xfId="0" applyFont="1" applyBorder="1" applyAlignment="1">
      <alignment horizontal="center" vertical="center" wrapText="1"/>
    </xf>
    <xf numFmtId="0" fontId="25" fillId="0" borderId="0" xfId="0" applyFont="1" applyAlignment="1">
      <alignment horizontal="center"/>
    </xf>
    <xf numFmtId="0" fontId="2" fillId="0" borderId="0" xfId="0" applyFont="1" applyAlignment="1">
      <alignment horizontal="center"/>
    </xf>
    <xf numFmtId="0" fontId="50" fillId="0" borderId="0" xfId="0" applyFont="1" applyAlignment="1">
      <alignment horizontal="center" wrapText="1"/>
    </xf>
    <xf numFmtId="0" fontId="25" fillId="0" borderId="0" xfId="0" applyFont="1" applyBorder="1" applyAlignment="1">
      <alignment horizontal="center"/>
    </xf>
    <xf numFmtId="0" fontId="9" fillId="0" borderId="0" xfId="0" applyFont="1" applyAlignment="1">
      <alignment horizontal="center"/>
    </xf>
    <xf numFmtId="0" fontId="27"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6" borderId="15"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4" xfId="0" applyFont="1" applyFill="1" applyBorder="1" applyAlignment="1">
      <alignment horizontal="center" vertical="center" wrapText="1"/>
    </xf>
    <xf numFmtId="0" fontId="52" fillId="0" borderId="0" xfId="0" applyFont="1" applyAlignment="1">
      <alignment horizontal="center" wrapText="1"/>
    </xf>
    <xf numFmtId="0" fontId="41" fillId="6" borderId="1" xfId="0" applyFont="1" applyFill="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6"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7" fillId="0" borderId="13" xfId="0" applyFont="1" applyBorder="1" applyAlignment="1">
      <alignment horizontal="center"/>
    </xf>
    <xf numFmtId="0" fontId="2" fillId="0" borderId="13" xfId="0" applyFont="1" applyBorder="1" applyAlignment="1">
      <alignment horizontal="center"/>
    </xf>
    <xf numFmtId="0" fontId="25" fillId="0" borderId="19" xfId="0" applyFont="1" applyBorder="1" applyAlignment="1">
      <alignment horizontal="center"/>
    </xf>
    <xf numFmtId="0" fontId="2" fillId="0" borderId="0" xfId="0" applyFont="1" applyAlignment="1">
      <alignment horizontal="center" wrapText="1"/>
    </xf>
    <xf numFmtId="0" fontId="49" fillId="0" borderId="0" xfId="0" applyFont="1" applyAlignment="1">
      <alignment horizontal="center" wrapText="1"/>
    </xf>
    <xf numFmtId="0" fontId="48" fillId="0" borderId="0" xfId="0" applyFont="1" applyAlignment="1">
      <alignment horizontal="center" wrapText="1"/>
    </xf>
    <xf numFmtId="0" fontId="39" fillId="2" borderId="1"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39" fillId="2" borderId="2"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29" fillId="6" borderId="13" xfId="0" applyFont="1" applyFill="1" applyBorder="1" applyAlignment="1">
      <alignment horizontal="center"/>
    </xf>
    <xf numFmtId="0" fontId="29" fillId="6" borderId="0" xfId="0" applyFont="1" applyFill="1" applyAlignment="1">
      <alignment horizontal="center"/>
    </xf>
    <xf numFmtId="0" fontId="45" fillId="0" borderId="0" xfId="0" applyFont="1" applyAlignment="1">
      <alignment horizontal="center" wrapText="1"/>
    </xf>
    <xf numFmtId="0" fontId="25" fillId="0" borderId="17" xfId="0" applyFont="1" applyBorder="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4" fillId="0" borderId="0" xfId="0" applyFont="1" applyAlignment="1">
      <alignment horizontal="center"/>
    </xf>
    <xf numFmtId="0" fontId="55" fillId="0" borderId="0" xfId="8" applyFont="1" applyAlignment="1" applyProtection="1">
      <alignment horizontal="center" wrapText="1"/>
    </xf>
    <xf numFmtId="0" fontId="54" fillId="0" borderId="0" xfId="0" applyFont="1" applyAlignment="1">
      <alignment horizontal="center" wrapText="1"/>
    </xf>
    <xf numFmtId="0" fontId="56" fillId="0" borderId="0" xfId="0" applyFont="1" applyAlignment="1">
      <alignment horizontal="center" wrapText="1"/>
    </xf>
    <xf numFmtId="0" fontId="24" fillId="0" borderId="12" xfId="0" applyFont="1" applyFill="1" applyBorder="1" applyAlignment="1">
      <alignment horizontal="center"/>
    </xf>
    <xf numFmtId="0" fontId="24" fillId="0" borderId="13" xfId="0" applyFont="1" applyFill="1" applyBorder="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2" fillId="0" borderId="0" xfId="0" applyFont="1" applyAlignment="1">
      <alignment horizontal="center"/>
    </xf>
    <xf numFmtId="2" fontId="26" fillId="0" borderId="1" xfId="2" applyNumberFormat="1" applyFont="1" applyBorder="1" applyAlignment="1">
      <alignment horizontal="center"/>
    </xf>
    <xf numFmtId="10" fontId="27" fillId="0" borderId="1" xfId="1" applyNumberFormat="1" applyFont="1" applyBorder="1" applyAlignment="1">
      <alignment horizontal="center"/>
    </xf>
    <xf numFmtId="0" fontId="25" fillId="0" borderId="13" xfId="0" applyFont="1" applyBorder="1" applyAlignment="1">
      <alignment horizontal="center"/>
    </xf>
    <xf numFmtId="0" fontId="57" fillId="5" borderId="20" xfId="0" applyFont="1" applyFill="1" applyBorder="1" applyAlignment="1">
      <alignment horizontal="left" vertical="center"/>
    </xf>
    <xf numFmtId="0" fontId="57"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5" fillId="0" borderId="15" xfId="0" applyFont="1" applyBorder="1" applyAlignment="1">
      <alignment horizontal="center"/>
    </xf>
    <xf numFmtId="0" fontId="25" fillId="0" borderId="21" xfId="0" applyFont="1" applyBorder="1" applyAlignment="1">
      <alignment horizontal="center"/>
    </xf>
    <xf numFmtId="0" fontId="25" fillId="0" borderId="16" xfId="0" applyFont="1" applyBorder="1" applyAlignment="1">
      <alignment horizontal="center"/>
    </xf>
    <xf numFmtId="0" fontId="53" fillId="5" borderId="20" xfId="0" applyFont="1" applyFill="1" applyBorder="1" applyAlignment="1">
      <alignment vertical="center"/>
    </xf>
    <xf numFmtId="0" fontId="53" fillId="5" borderId="14" xfId="0" applyFont="1" applyFill="1" applyBorder="1" applyAlignment="1">
      <alignment vertical="center"/>
    </xf>
    <xf numFmtId="0" fontId="36" fillId="0" borderId="15" xfId="0" applyFont="1" applyFill="1" applyBorder="1" applyAlignment="1">
      <alignment horizontal="center"/>
    </xf>
    <xf numFmtId="0" fontId="36" fillId="0" borderId="21" xfId="0" applyFont="1" applyFill="1" applyBorder="1" applyAlignment="1">
      <alignment horizontal="center"/>
    </xf>
    <xf numFmtId="0" fontId="36" fillId="0" borderId="16" xfId="0" applyFont="1" applyFill="1" applyBorder="1" applyAlignment="1">
      <alignment horizontal="center"/>
    </xf>
    <xf numFmtId="0" fontId="53" fillId="5" borderId="20" xfId="0" applyFont="1" applyFill="1" applyBorder="1" applyAlignment="1">
      <alignment horizontal="left" vertical="center"/>
    </xf>
    <xf numFmtId="0" fontId="53"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5"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GST@1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sqref="A1:E1"/>
    </sheetView>
  </sheetViews>
  <sheetFormatPr defaultColWidth="9.140625" defaultRowHeight="15"/>
  <cols>
    <col min="1" max="1" width="12.85546875" style="358" customWidth="1"/>
    <col min="2" max="2" width="56" style="358" customWidth="1"/>
    <col min="3" max="3" width="26.28515625" style="358" customWidth="1"/>
    <col min="4" max="4" width="20.7109375" style="358" customWidth="1"/>
    <col min="5" max="5" width="29.42578125" style="358" customWidth="1"/>
    <col min="6" max="16384" width="9.140625" style="358"/>
  </cols>
  <sheetData>
    <row r="1" spans="1:5" ht="26.25" customHeight="1">
      <c r="A1" s="394" t="s">
        <v>636</v>
      </c>
      <c r="B1" s="394"/>
      <c r="C1" s="394"/>
      <c r="D1" s="394"/>
      <c r="E1" s="394"/>
    </row>
    <row r="2" spans="1:5" ht="26.25" customHeight="1">
      <c r="A2" s="395" t="s">
        <v>632</v>
      </c>
      <c r="B2" s="395"/>
      <c r="C2" s="395"/>
      <c r="D2" s="395"/>
      <c r="E2" s="395"/>
    </row>
    <row r="3" spans="1:5" ht="23.25" customHeight="1">
      <c r="A3" s="396" t="s">
        <v>603</v>
      </c>
      <c r="B3" s="396"/>
      <c r="C3" s="396"/>
      <c r="D3" s="396"/>
      <c r="E3" s="396"/>
    </row>
    <row r="4" spans="1:5" ht="240.75" customHeight="1">
      <c r="A4" s="397" t="s">
        <v>637</v>
      </c>
      <c r="B4" s="397"/>
      <c r="C4" s="397"/>
      <c r="D4" s="397"/>
      <c r="E4" s="397"/>
    </row>
    <row r="5" spans="1:5" ht="23.25" customHeight="1">
      <c r="A5" s="396" t="s">
        <v>604</v>
      </c>
      <c r="B5" s="396"/>
      <c r="C5" s="396"/>
      <c r="D5" s="396"/>
      <c r="E5" s="396"/>
    </row>
    <row r="6" spans="1:5" ht="108" customHeight="1">
      <c r="A6" s="404" t="s">
        <v>675</v>
      </c>
      <c r="B6" s="405"/>
      <c r="C6" s="405"/>
      <c r="D6" s="405"/>
      <c r="E6" s="406"/>
    </row>
    <row r="7" spans="1:5" ht="23.25" customHeight="1">
      <c r="A7" s="407" t="s">
        <v>638</v>
      </c>
      <c r="B7" s="407"/>
      <c r="C7" s="407"/>
      <c r="D7" s="407"/>
      <c r="E7" s="407"/>
    </row>
    <row r="8" spans="1:5" ht="125.25" customHeight="1">
      <c r="A8" s="397" t="s">
        <v>674</v>
      </c>
      <c r="B8" s="397"/>
      <c r="C8" s="397"/>
      <c r="D8" s="397"/>
      <c r="E8" s="397"/>
    </row>
    <row r="9" spans="1:5" ht="23.25">
      <c r="A9" s="396" t="s">
        <v>629</v>
      </c>
      <c r="B9" s="396"/>
      <c r="C9" s="396"/>
      <c r="D9" s="396"/>
      <c r="E9" s="396"/>
    </row>
    <row r="10" spans="1:5">
      <c r="A10" s="358" t="s">
        <v>605</v>
      </c>
      <c r="B10" s="358" t="s">
        <v>149</v>
      </c>
    </row>
    <row r="11" spans="1:5" ht="20.25" customHeight="1">
      <c r="A11" s="362"/>
      <c r="B11" s="408" t="s">
        <v>404</v>
      </c>
      <c r="C11" s="409"/>
      <c r="D11" s="409"/>
      <c r="E11" s="410"/>
    </row>
    <row r="12" spans="1:5">
      <c r="A12" s="363"/>
      <c r="B12" s="398" t="s">
        <v>405</v>
      </c>
      <c r="C12" s="398"/>
      <c r="D12" s="398"/>
      <c r="E12" s="398"/>
    </row>
    <row r="13" spans="1:5" s="367" customFormat="1">
      <c r="A13" s="399"/>
      <c r="B13" s="399"/>
      <c r="C13" s="399"/>
      <c r="D13" s="399"/>
      <c r="E13" s="400"/>
    </row>
    <row r="14" spans="1:5" ht="23.25">
      <c r="A14" s="396" t="s">
        <v>630</v>
      </c>
      <c r="B14" s="396"/>
      <c r="C14" s="396"/>
      <c r="D14" s="396"/>
      <c r="E14" s="396"/>
    </row>
    <row r="15" spans="1:5">
      <c r="A15" s="359" t="s">
        <v>601</v>
      </c>
      <c r="B15" s="359" t="s">
        <v>639</v>
      </c>
      <c r="C15" s="359" t="s">
        <v>457</v>
      </c>
      <c r="D15" s="359" t="s">
        <v>609</v>
      </c>
      <c r="E15" s="359" t="s">
        <v>602</v>
      </c>
    </row>
    <row r="16" spans="1:5">
      <c r="A16" s="368" t="s">
        <v>171</v>
      </c>
      <c r="B16" s="368" t="s">
        <v>640</v>
      </c>
      <c r="C16" s="368"/>
      <c r="D16" s="368"/>
      <c r="E16" s="368"/>
    </row>
    <row r="17" spans="1:5" ht="60">
      <c r="A17" s="369" t="s">
        <v>619</v>
      </c>
      <c r="B17" s="360" t="s">
        <v>626</v>
      </c>
      <c r="C17" s="360" t="s">
        <v>671</v>
      </c>
      <c r="D17" s="360" t="s">
        <v>641</v>
      </c>
      <c r="E17" s="360"/>
    </row>
    <row r="18" spans="1:5" ht="90">
      <c r="A18" s="369" t="s">
        <v>620</v>
      </c>
      <c r="B18" s="360" t="s">
        <v>606</v>
      </c>
      <c r="C18" s="360" t="s">
        <v>672</v>
      </c>
      <c r="D18" s="360" t="s">
        <v>642</v>
      </c>
      <c r="E18" s="360"/>
    </row>
    <row r="19" spans="1:5" ht="26.25" customHeight="1">
      <c r="A19" s="369" t="s">
        <v>621</v>
      </c>
      <c r="B19" s="361" t="s">
        <v>633</v>
      </c>
      <c r="C19" s="360" t="s">
        <v>643</v>
      </c>
      <c r="D19" s="360" t="s">
        <v>644</v>
      </c>
      <c r="E19" s="360" t="s">
        <v>631</v>
      </c>
    </row>
    <row r="20" spans="1:5" ht="30">
      <c r="A20" s="369" t="s">
        <v>622</v>
      </c>
      <c r="B20" s="360" t="s">
        <v>673</v>
      </c>
      <c r="C20" s="360"/>
      <c r="D20" s="360"/>
      <c r="E20" s="360"/>
    </row>
    <row r="21" spans="1:5">
      <c r="A21" s="360">
        <v>4.0999999999999996</v>
      </c>
      <c r="B21" s="360" t="s">
        <v>613</v>
      </c>
      <c r="C21" s="401" t="s">
        <v>645</v>
      </c>
      <c r="D21" s="360" t="s">
        <v>646</v>
      </c>
      <c r="E21" s="360"/>
    </row>
    <row r="22" spans="1:5" ht="30">
      <c r="A22" s="360">
        <v>4.2</v>
      </c>
      <c r="B22" s="360" t="s">
        <v>617</v>
      </c>
      <c r="C22" s="402"/>
      <c r="D22" s="360" t="s">
        <v>647</v>
      </c>
      <c r="E22" s="360"/>
    </row>
    <row r="23" spans="1:5">
      <c r="A23" s="360">
        <v>4.3</v>
      </c>
      <c r="B23" s="360" t="s">
        <v>614</v>
      </c>
      <c r="C23" s="402"/>
      <c r="D23" s="360" t="s">
        <v>648</v>
      </c>
      <c r="E23" s="360"/>
    </row>
    <row r="24" spans="1:5">
      <c r="A24" s="360">
        <v>4.4000000000000004</v>
      </c>
      <c r="B24" s="360" t="s">
        <v>615</v>
      </c>
      <c r="C24" s="402"/>
      <c r="D24" s="360" t="s">
        <v>649</v>
      </c>
      <c r="E24" s="360"/>
    </row>
    <row r="25" spans="1:5">
      <c r="A25" s="360">
        <v>4.5</v>
      </c>
      <c r="B25" s="360" t="s">
        <v>616</v>
      </c>
      <c r="C25" s="402"/>
      <c r="D25" s="360" t="s">
        <v>650</v>
      </c>
      <c r="E25" s="360"/>
    </row>
    <row r="26" spans="1:5">
      <c r="A26" s="360">
        <v>4.5999999999999996</v>
      </c>
      <c r="B26" s="360" t="s">
        <v>618</v>
      </c>
      <c r="C26" s="403"/>
      <c r="D26" s="360" t="s">
        <v>651</v>
      </c>
      <c r="E26" s="360"/>
    </row>
    <row r="27" spans="1:5" ht="45">
      <c r="A27" s="369" t="s">
        <v>623</v>
      </c>
      <c r="B27" s="360" t="s">
        <v>607</v>
      </c>
      <c r="C27" s="360" t="s">
        <v>652</v>
      </c>
      <c r="D27" s="360" t="s">
        <v>677</v>
      </c>
      <c r="E27" s="360"/>
    </row>
    <row r="28" spans="1:5" ht="60">
      <c r="A28" s="369" t="s">
        <v>624</v>
      </c>
      <c r="B28" s="360" t="s">
        <v>653</v>
      </c>
      <c r="C28" s="360" t="s">
        <v>654</v>
      </c>
      <c r="D28" s="360" t="s">
        <v>655</v>
      </c>
      <c r="E28" s="360"/>
    </row>
    <row r="29" spans="1:5" ht="45">
      <c r="A29" s="369" t="s">
        <v>625</v>
      </c>
      <c r="B29" s="360" t="s">
        <v>608</v>
      </c>
      <c r="C29" s="360" t="s">
        <v>656</v>
      </c>
      <c r="D29" s="360" t="s">
        <v>657</v>
      </c>
      <c r="E29" s="360"/>
    </row>
    <row r="30" spans="1:5">
      <c r="A30" s="368" t="s">
        <v>172</v>
      </c>
      <c r="B30" s="370" t="s">
        <v>658</v>
      </c>
      <c r="C30" s="368"/>
      <c r="D30" s="368"/>
      <c r="E30" s="368"/>
    </row>
    <row r="31" spans="1:5" ht="26.25" customHeight="1">
      <c r="A31" s="371" t="s">
        <v>659</v>
      </c>
      <c r="B31" s="360" t="s">
        <v>610</v>
      </c>
      <c r="C31" s="360"/>
      <c r="D31" s="360" t="s">
        <v>660</v>
      </c>
      <c r="E31" s="360" t="s">
        <v>631</v>
      </c>
    </row>
    <row r="32" spans="1:5">
      <c r="A32" s="371" t="s">
        <v>661</v>
      </c>
      <c r="B32" s="360" t="s">
        <v>611</v>
      </c>
      <c r="C32" s="360"/>
      <c r="D32" s="360" t="s">
        <v>662</v>
      </c>
      <c r="E32" s="360" t="s">
        <v>631</v>
      </c>
    </row>
    <row r="33" spans="1:5">
      <c r="A33" s="371" t="s">
        <v>663</v>
      </c>
      <c r="B33" s="360" t="s">
        <v>612</v>
      </c>
      <c r="C33" s="360"/>
      <c r="D33" s="360" t="s">
        <v>664</v>
      </c>
      <c r="E33" s="360" t="s">
        <v>631</v>
      </c>
    </row>
    <row r="34" spans="1:5" ht="35.25" customHeight="1">
      <c r="A34" s="371" t="s">
        <v>665</v>
      </c>
      <c r="B34" s="360" t="s">
        <v>627</v>
      </c>
      <c r="C34" s="360"/>
      <c r="D34" s="360" t="s">
        <v>666</v>
      </c>
      <c r="E34" s="360" t="s">
        <v>631</v>
      </c>
    </row>
    <row r="35" spans="1:5" ht="35.25" customHeight="1">
      <c r="A35" s="371" t="s">
        <v>667</v>
      </c>
      <c r="B35" s="360" t="s">
        <v>668</v>
      </c>
      <c r="C35" s="360"/>
      <c r="D35" s="360" t="s">
        <v>676</v>
      </c>
      <c r="E35" s="360" t="s">
        <v>631</v>
      </c>
    </row>
    <row r="36" spans="1:5">
      <c r="A36" s="369" t="s">
        <v>669</v>
      </c>
      <c r="B36" s="360" t="s">
        <v>670</v>
      </c>
      <c r="C36" s="360"/>
      <c r="D36" s="360"/>
      <c r="E36" s="360"/>
    </row>
    <row r="37" spans="1:5" ht="21">
      <c r="A37" s="393"/>
      <c r="B37" s="393"/>
      <c r="C37" s="393"/>
      <c r="D37" s="393"/>
      <c r="E37" s="393"/>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4"/>
  <sheetViews>
    <sheetView view="pageBreakPreview" topLeftCell="A107" zoomScale="80" zoomScaleSheetLayoutView="80" workbookViewId="0">
      <selection activeCell="B123" sqref="B123:I182"/>
    </sheetView>
  </sheetViews>
  <sheetFormatPr defaultRowHeight="15"/>
  <cols>
    <col min="2" max="2" width="32.7109375" bestFit="1" customWidth="1"/>
    <col min="3" max="3" width="19.7109375" customWidth="1"/>
    <col min="4" max="4" width="15.7109375" customWidth="1"/>
    <col min="5" max="5" width="17.7109375" customWidth="1"/>
    <col min="6" max="6" width="17.85546875" customWidth="1"/>
    <col min="7" max="7" width="18" customWidth="1"/>
    <col min="8" max="8" width="17.85546875" customWidth="1"/>
    <col min="9" max="9" width="18.7109375" customWidth="1"/>
    <col min="10" max="10" width="18.140625" customWidth="1"/>
    <col min="11" max="11" width="14.42578125" customWidth="1"/>
    <col min="12" max="12" width="14.85546875" bestFit="1" customWidth="1"/>
    <col min="13" max="18" width="11.85546875" bestFit="1" customWidth="1"/>
    <col min="19" max="19" width="4.5703125" bestFit="1" customWidth="1"/>
  </cols>
  <sheetData>
    <row r="5" spans="2:12" ht="18.75">
      <c r="B5" s="454" t="s">
        <v>554</v>
      </c>
      <c r="C5" s="454"/>
      <c r="D5" s="454"/>
      <c r="E5" s="454"/>
      <c r="F5" s="454"/>
      <c r="G5" s="454"/>
      <c r="H5" s="454"/>
      <c r="I5" s="454"/>
      <c r="J5" s="454"/>
    </row>
    <row r="6" spans="2:12" ht="16.5">
      <c r="B6" s="8"/>
      <c r="C6" s="8"/>
      <c r="D6" s="8"/>
      <c r="E6" s="8"/>
      <c r="F6" s="8"/>
      <c r="G6" s="8"/>
      <c r="H6" s="8"/>
      <c r="I6" s="8"/>
      <c r="J6" s="8"/>
    </row>
    <row r="7" spans="2:12" ht="15.75">
      <c r="B7" s="85" t="s">
        <v>29</v>
      </c>
      <c r="C7" s="86" t="s">
        <v>335</v>
      </c>
      <c r="D7" s="86" t="s">
        <v>2</v>
      </c>
      <c r="E7" s="86" t="s">
        <v>3</v>
      </c>
      <c r="F7" s="86" t="s">
        <v>4</v>
      </c>
      <c r="G7" s="86" t="s">
        <v>5</v>
      </c>
      <c r="H7" s="86" t="s">
        <v>6</v>
      </c>
      <c r="I7" s="86" t="s">
        <v>167</v>
      </c>
      <c r="J7" s="86" t="s">
        <v>166</v>
      </c>
      <c r="L7" s="364"/>
    </row>
    <row r="8" spans="2:12">
      <c r="B8" s="87"/>
      <c r="C8" s="87"/>
      <c r="D8" s="87"/>
      <c r="E8" s="87"/>
      <c r="F8" s="87"/>
      <c r="G8" s="87"/>
      <c r="H8" s="87"/>
      <c r="I8" s="87"/>
      <c r="J8" s="87"/>
    </row>
    <row r="9" spans="2:12">
      <c r="B9" s="87" t="s">
        <v>30</v>
      </c>
      <c r="C9" s="87"/>
      <c r="D9" s="88">
        <f>'6.Cons Profit &amp; Loss'!B49</f>
        <v>1164197.0685433513</v>
      </c>
      <c r="E9" s="88">
        <f>'6.Cons Profit &amp; Loss'!C49</f>
        <v>4071525.7867724625</v>
      </c>
      <c r="F9" s="88">
        <f>'6.Cons Profit &amp; Loss'!D49</f>
        <v>6356236.883630746</v>
      </c>
      <c r="G9" s="88">
        <f>'6.Cons Profit &amp; Loss'!E49</f>
        <v>8927825.9822073597</v>
      </c>
      <c r="H9" s="88">
        <f>'6.Cons Profit &amp; Loss'!F49</f>
        <v>11806992.161497047</v>
      </c>
      <c r="I9" s="88">
        <f>'6.Cons Profit &amp; Loss'!G49</f>
        <v>14797517.352957189</v>
      </c>
      <c r="J9" s="88">
        <f>'6.Cons Profit &amp; Loss'!H49</f>
        <v>18117381.558995545</v>
      </c>
    </row>
    <row r="10" spans="2:12">
      <c r="B10" s="87"/>
      <c r="C10" s="87"/>
      <c r="D10" s="88"/>
      <c r="E10" s="88"/>
      <c r="F10" s="88"/>
      <c r="G10" s="88"/>
      <c r="H10" s="88"/>
      <c r="I10" s="88"/>
      <c r="J10" s="88"/>
    </row>
    <row r="11" spans="2:12">
      <c r="B11" s="89" t="s">
        <v>31</v>
      </c>
      <c r="C11" s="89"/>
      <c r="D11" s="88">
        <f>'6.Cons Profit &amp; Loss'!B40</f>
        <v>2031429.7149159999</v>
      </c>
      <c r="E11" s="88">
        <f>'6.Cons Profit &amp; Loss'!C40</f>
        <v>2031429.7149159999</v>
      </c>
      <c r="F11" s="88">
        <f>'6.Cons Profit &amp; Loss'!D40</f>
        <v>2031429.7149159999</v>
      </c>
      <c r="G11" s="88">
        <f>'6.Cons Profit &amp; Loss'!E40</f>
        <v>2031429.7149159999</v>
      </c>
      <c r="H11" s="88">
        <f>'6.Cons Profit &amp; Loss'!F40</f>
        <v>2031429.7149159999</v>
      </c>
      <c r="I11" s="88">
        <f>'6.Cons Profit &amp; Loss'!G40</f>
        <v>2031429.7149159999</v>
      </c>
      <c r="J11" s="88">
        <f>'6.Cons Profit &amp; Loss'!H40</f>
        <v>2031429.7149159999</v>
      </c>
    </row>
    <row r="12" spans="2:12">
      <c r="B12" s="87" t="s">
        <v>36</v>
      </c>
      <c r="C12" s="87"/>
      <c r="D12" s="88">
        <f>'6.Cons Profit &amp; Loss'!B41</f>
        <v>12588</v>
      </c>
      <c r="E12" s="88">
        <f>'6.Cons Profit &amp; Loss'!C41</f>
        <v>12588</v>
      </c>
      <c r="F12" s="88">
        <f>'6.Cons Profit &amp; Loss'!D41</f>
        <v>12588</v>
      </c>
      <c r="G12" s="88">
        <f>'6.Cons Profit &amp; Loss'!E41</f>
        <v>12588</v>
      </c>
      <c r="H12" s="88">
        <f>'6.Cons Profit &amp; Loss'!F41</f>
        <v>12588</v>
      </c>
      <c r="I12" s="88">
        <f>'6.Cons Profit &amp; Loss'!G41</f>
        <v>0</v>
      </c>
      <c r="J12" s="88">
        <f>'6.Cons Profit &amp; Loss'!H41</f>
        <v>0</v>
      </c>
    </row>
    <row r="13" spans="2:12">
      <c r="B13" s="87"/>
      <c r="C13" s="87"/>
      <c r="D13" s="87"/>
      <c r="E13" s="87"/>
      <c r="F13" s="87"/>
      <c r="G13" s="87"/>
      <c r="H13" s="87"/>
      <c r="I13" s="87"/>
      <c r="J13" s="87"/>
    </row>
    <row r="14" spans="2:12">
      <c r="B14" s="87" t="s">
        <v>32</v>
      </c>
      <c r="C14" s="87"/>
      <c r="D14" s="88">
        <f>SUM(D9:D12)</f>
        <v>3208214.7834593514</v>
      </c>
      <c r="E14" s="88">
        <f t="shared" ref="E14:J14" si="0">SUM(E9:E12)</f>
        <v>6115543.5016884627</v>
      </c>
      <c r="F14" s="88">
        <f t="shared" si="0"/>
        <v>8400254.5985467471</v>
      </c>
      <c r="G14" s="88">
        <f t="shared" si="0"/>
        <v>10971843.69712336</v>
      </c>
      <c r="H14" s="88">
        <f t="shared" si="0"/>
        <v>13851009.876413047</v>
      </c>
      <c r="I14" s="88">
        <f t="shared" si="0"/>
        <v>16828947.067873187</v>
      </c>
      <c r="J14" s="88">
        <f t="shared" si="0"/>
        <v>20148811.273911543</v>
      </c>
    </row>
    <row r="15" spans="2:12">
      <c r="B15" s="87" t="s">
        <v>344</v>
      </c>
      <c r="C15" s="90">
        <f>-'1.Project Cost and MOF'!D13</f>
        <v>-42097052.117505975</v>
      </c>
      <c r="D15" s="88">
        <f>D14</f>
        <v>3208214.7834593514</v>
      </c>
      <c r="E15" s="88">
        <f t="shared" ref="E15:J15" si="1">E14</f>
        <v>6115543.5016884627</v>
      </c>
      <c r="F15" s="88">
        <f t="shared" si="1"/>
        <v>8400254.5985467471</v>
      </c>
      <c r="G15" s="88">
        <f t="shared" si="1"/>
        <v>10971843.69712336</v>
      </c>
      <c r="H15" s="88">
        <f t="shared" si="1"/>
        <v>13851009.876413047</v>
      </c>
      <c r="I15" s="88">
        <f t="shared" si="1"/>
        <v>16828947.067873187</v>
      </c>
      <c r="J15" s="88">
        <f t="shared" si="1"/>
        <v>20148811.273911543</v>
      </c>
    </row>
    <row r="16" spans="2:12">
      <c r="B16" s="87" t="s">
        <v>280</v>
      </c>
      <c r="C16" s="256">
        <f>IRR(C15:J15)</f>
        <v>0.14298146966785596</v>
      </c>
      <c r="D16" s="88"/>
      <c r="E16" s="88"/>
      <c r="F16" s="88"/>
      <c r="G16" s="88"/>
      <c r="H16" s="88"/>
      <c r="I16" s="88"/>
      <c r="J16" s="88"/>
    </row>
    <row r="17" spans="2:19">
      <c r="B17" s="87"/>
      <c r="C17" s="87"/>
      <c r="D17" s="87"/>
      <c r="E17" s="87"/>
      <c r="F17" s="87"/>
      <c r="G17" s="87"/>
      <c r="H17" s="87"/>
      <c r="I17" s="87"/>
      <c r="J17" s="87"/>
    </row>
    <row r="18" spans="2:19" ht="16.5">
      <c r="B18" s="257" t="s">
        <v>407</v>
      </c>
      <c r="C18" s="257"/>
      <c r="D18" s="258">
        <f>1/(1+$C$16)</f>
        <v>0.8749048226395082</v>
      </c>
      <c r="E18" s="259">
        <f t="shared" ref="E18:J18" si="2">D18/(1+$C$16)</f>
        <v>0.76545844867786939</v>
      </c>
      <c r="F18" s="259">
        <f t="shared" si="2"/>
        <v>0.6697032882784244</v>
      </c>
      <c r="G18" s="259">
        <f t="shared" si="2"/>
        <v>0.58592663665233036</v>
      </c>
      <c r="H18" s="259">
        <f t="shared" si="2"/>
        <v>0.51263004012007063</v>
      </c>
      <c r="I18" s="259">
        <f t="shared" si="2"/>
        <v>0.44850249433093436</v>
      </c>
      <c r="J18" s="259">
        <f t="shared" si="2"/>
        <v>0.39239699525598321</v>
      </c>
      <c r="L18" s="17"/>
      <c r="M18" s="17"/>
      <c r="N18" s="17"/>
      <c r="O18" s="17"/>
      <c r="P18" s="17"/>
      <c r="Q18" s="17"/>
      <c r="R18" s="17"/>
      <c r="S18" s="17"/>
    </row>
    <row r="19" spans="2:19">
      <c r="B19" s="87" t="s">
        <v>33</v>
      </c>
      <c r="C19" s="87"/>
      <c r="D19" s="88">
        <f t="shared" ref="D19:J19" si="3">D14*D18</f>
        <v>2806882.5861119521</v>
      </c>
      <c r="E19" s="88">
        <f t="shared" si="3"/>
        <v>4681194.4416244756</v>
      </c>
      <c r="F19" s="88">
        <f t="shared" si="3"/>
        <v>5625678.1270227125</v>
      </c>
      <c r="G19" s="88">
        <f t="shared" si="3"/>
        <v>6428695.4753305595</v>
      </c>
      <c r="H19" s="88">
        <f t="shared" si="3"/>
        <v>7100443.7486491147</v>
      </c>
      <c r="I19" s="88">
        <f t="shared" si="3"/>
        <v>7547824.7369043883</v>
      </c>
      <c r="J19" s="88">
        <f t="shared" si="3"/>
        <v>7906333.001862769</v>
      </c>
      <c r="L19" s="6"/>
    </row>
    <row r="20" spans="2:19">
      <c r="B20" s="87" t="s">
        <v>34</v>
      </c>
      <c r="C20" s="87"/>
      <c r="D20" s="460">
        <f>SUM(D19:J19)</f>
        <v>42097052.117505975</v>
      </c>
      <c r="E20" s="460"/>
      <c r="F20" s="460"/>
      <c r="G20" s="460"/>
      <c r="H20" s="460"/>
      <c r="I20" s="460"/>
      <c r="J20" s="460"/>
      <c r="L20" s="6"/>
    </row>
    <row r="21" spans="2:19">
      <c r="B21" s="87"/>
      <c r="C21" s="87"/>
      <c r="D21" s="88"/>
      <c r="E21" s="88"/>
      <c r="F21" s="88"/>
      <c r="G21" s="88"/>
      <c r="H21" s="88"/>
      <c r="I21" s="88"/>
      <c r="J21" s="88"/>
    </row>
    <row r="22" spans="2:19">
      <c r="B22" s="9" t="s">
        <v>35</v>
      </c>
      <c r="C22" s="9"/>
      <c r="D22" s="461">
        <f>'1.Project Cost and MOF'!D13</f>
        <v>42097052.117505975</v>
      </c>
      <c r="E22" s="461"/>
      <c r="F22" s="461"/>
      <c r="G22" s="461"/>
      <c r="H22" s="461"/>
      <c r="I22" s="461"/>
      <c r="J22" s="461"/>
    </row>
    <row r="23" spans="2:19">
      <c r="F23" s="17">
        <f>D20-D22</f>
        <v>0</v>
      </c>
    </row>
    <row r="24" spans="2:19" ht="29.45" customHeight="1">
      <c r="B24" s="455" t="s">
        <v>425</v>
      </c>
      <c r="C24" s="455"/>
      <c r="D24" s="455"/>
      <c r="E24" s="455"/>
      <c r="F24" s="455"/>
      <c r="G24" s="455"/>
      <c r="H24" s="455"/>
      <c r="I24" s="455"/>
      <c r="J24" s="455"/>
    </row>
    <row r="25" spans="2:19">
      <c r="K25" s="17"/>
      <c r="L25" s="17"/>
      <c r="M25" s="17"/>
    </row>
    <row r="26" spans="2:19" ht="18.75">
      <c r="B26" s="414" t="s">
        <v>555</v>
      </c>
      <c r="C26" s="414"/>
      <c r="D26" s="414"/>
      <c r="E26" s="414"/>
      <c r="F26" s="414"/>
      <c r="G26" s="414"/>
      <c r="H26" s="414"/>
      <c r="I26" s="414"/>
    </row>
    <row r="27" spans="2:19">
      <c r="K27" s="17"/>
    </row>
    <row r="28" spans="2:19">
      <c r="B28" s="112" t="s">
        <v>0</v>
      </c>
      <c r="C28" s="103" t="s">
        <v>2</v>
      </c>
      <c r="D28" s="103" t="s">
        <v>3</v>
      </c>
      <c r="E28" s="103" t="s">
        <v>4</v>
      </c>
      <c r="F28" s="103" t="s">
        <v>5</v>
      </c>
      <c r="G28" s="103" t="s">
        <v>6</v>
      </c>
      <c r="H28" s="103" t="s">
        <v>167</v>
      </c>
      <c r="I28" s="103" t="s">
        <v>166</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'6.Cons Profit &amp; Loss'!A6</f>
        <v>Faclitiy 1 - Trading Activity</v>
      </c>
      <c r="C32" s="95">
        <f>'6.Cons Profit &amp; Loss'!B6</f>
        <v>30335553.342360001</v>
      </c>
      <c r="D32" s="95">
        <f>'6.Cons Profit &amp; Loss'!C6</f>
        <v>45094192.092873015</v>
      </c>
      <c r="E32" s="95">
        <f>'6.Cons Profit &amp; Loss'!D6</f>
        <v>54311358.992659651</v>
      </c>
      <c r="F32" s="95">
        <f>'6.Cons Profit &amp; Loss'!E6</f>
        <v>64337507.102192797</v>
      </c>
      <c r="G32" s="95">
        <f>'6.Cons Profit &amp; Loss'!F6</f>
        <v>75230491.625197604</v>
      </c>
      <c r="H32" s="95">
        <f>'6.Cons Profit &amp; Loss'!G6</f>
        <v>87051930.8327474</v>
      </c>
      <c r="I32" s="95">
        <f>'6.Cons Profit &amp; Loss'!H6</f>
        <v>99867437.731989205</v>
      </c>
    </row>
    <row r="33" spans="2:9">
      <c r="B33" s="109" t="str">
        <f>'6.Cons Profit &amp; Loss'!A7</f>
        <v>Faclitiy 2 - Processing Unit- Cleaning, Grading</v>
      </c>
      <c r="C33" s="95">
        <f>'6.Cons Profit &amp; Loss'!B7</f>
        <v>1011653.8618320001</v>
      </c>
      <c r="D33" s="95">
        <f>'6.Cons Profit &amp; Loss'!C7</f>
        <v>1615474.5883038002</v>
      </c>
      <c r="E33" s="95">
        <f>'6.Cons Profit &amp; Loss'!D7</f>
        <v>2265535.3809110401</v>
      </c>
      <c r="F33" s="95">
        <f>'6.Cons Profit &amp; Loss'!E7</f>
        <v>2976563.5663082455</v>
      </c>
      <c r="G33" s="95">
        <f>'6.Cons Profit &amp; Loss'!F7</f>
        <v>3753030.7317928933</v>
      </c>
      <c r="H33" s="95">
        <f>'6.Cons Profit &amp; Loss'!G7</f>
        <v>4599703.2049102345</v>
      </c>
      <c r="I33" s="95">
        <f>'6.Cons Profit &amp; Loss'!H7</f>
        <v>5521660.3485098286</v>
      </c>
    </row>
    <row r="34" spans="2:9">
      <c r="B34" s="109" t="str">
        <f>'6.Cons Profit &amp; Loss'!A8</f>
        <v>Faclitiy 3 - Warehouse</v>
      </c>
      <c r="C34" s="95">
        <f>'6.Cons Profit &amp; Loss'!B8</f>
        <v>3888000</v>
      </c>
      <c r="D34" s="95">
        <f>'6.Cons Profit &amp; Loss'!C8</f>
        <v>4337550.0000000009</v>
      </c>
      <c r="E34" s="95">
        <f>'6.Cons Profit &amp; Loss'!D8</f>
        <v>4822335.0000000009</v>
      </c>
      <c r="F34" s="95">
        <f>'6.Cons Profit &amp; Loss'!E8</f>
        <v>5344754.6250000019</v>
      </c>
      <c r="G34" s="95">
        <f>'6.Cons Profit &amp; Loss'!F8</f>
        <v>5907360.3750000019</v>
      </c>
      <c r="H34" s="95">
        <f>'6.Cons Profit &amp; Loss'!G8</f>
        <v>6202728.3937500026</v>
      </c>
      <c r="I34" s="95">
        <f>'6.Cons Profit &amp; Loss'!H8</f>
        <v>6512864.8134375028</v>
      </c>
    </row>
    <row r="35" spans="2:9">
      <c r="B35" s="109" t="str">
        <f>'6.Cons Profit &amp; Loss'!A9</f>
        <v xml:space="preserve">Faclitiy 4 - Custom Hiring </v>
      </c>
      <c r="C35" s="95">
        <f>'6.Cons Profit &amp; Loss'!B9</f>
        <v>0</v>
      </c>
      <c r="D35" s="95">
        <f>'6.Cons Profit &amp; Loss'!C9</f>
        <v>0</v>
      </c>
      <c r="E35" s="95">
        <f>'6.Cons Profit &amp; Loss'!D9</f>
        <v>0</v>
      </c>
      <c r="F35" s="95">
        <f>'6.Cons Profit &amp; Loss'!E9</f>
        <v>0</v>
      </c>
      <c r="G35" s="95">
        <f>'6.Cons Profit &amp; Loss'!F9</f>
        <v>0</v>
      </c>
      <c r="H35" s="95">
        <f>'6.Cons Profit &amp; Loss'!G9</f>
        <v>0</v>
      </c>
      <c r="I35" s="95">
        <f>'6.Cons Profit &amp; Loss'!H9</f>
        <v>0</v>
      </c>
    </row>
    <row r="36" spans="2:9">
      <c r="B36" s="109" t="str">
        <f>'6.Cons Profit &amp; Loss'!A10</f>
        <v>Faclitiy 5 - Agri Input Centre</v>
      </c>
      <c r="C36" s="95">
        <f>'6.Cons Profit &amp; Loss'!B10</f>
        <v>0</v>
      </c>
      <c r="D36" s="95">
        <f>'6.Cons Profit &amp; Loss'!C10</f>
        <v>0</v>
      </c>
      <c r="E36" s="95">
        <f>'6.Cons Profit &amp; Loss'!D10</f>
        <v>0</v>
      </c>
      <c r="F36" s="95">
        <f>'6.Cons Profit &amp; Loss'!E10</f>
        <v>0</v>
      </c>
      <c r="G36" s="95">
        <f>'6.Cons Profit &amp; Loss'!F10</f>
        <v>0</v>
      </c>
      <c r="H36" s="95">
        <f>'6.Cons Profit &amp; Loss'!G10</f>
        <v>0</v>
      </c>
      <c r="I36" s="95">
        <f>'6.Cons Profit &amp; Loss'!H10</f>
        <v>0</v>
      </c>
    </row>
    <row r="37" spans="2:9">
      <c r="B37" s="109" t="str">
        <f>'6.Cons Profit &amp; Loss'!A11</f>
        <v>Facility 6 - Processing Unit - Horti Commodity</v>
      </c>
      <c r="C37" s="95">
        <f>'6.Cons Profit &amp; Loss'!B11</f>
        <v>0</v>
      </c>
      <c r="D37" s="95">
        <f>'6.Cons Profit &amp; Loss'!C11</f>
        <v>0</v>
      </c>
      <c r="E37" s="95">
        <f>'6.Cons Profit &amp; Loss'!D11</f>
        <v>0</v>
      </c>
      <c r="F37" s="95">
        <f>'6.Cons Profit &amp; Loss'!E11</f>
        <v>0</v>
      </c>
      <c r="G37" s="95">
        <f>'6.Cons Profit &amp; Loss'!F11</f>
        <v>0</v>
      </c>
      <c r="H37" s="95">
        <f>'6.Cons Profit &amp; Loss'!G11</f>
        <v>0</v>
      </c>
      <c r="I37" s="95">
        <f>'6.Cons Profit &amp; Loss'!H11</f>
        <v>0</v>
      </c>
    </row>
    <row r="38" spans="2:9">
      <c r="B38" s="109"/>
      <c r="C38" s="109"/>
      <c r="D38" s="109"/>
      <c r="E38" s="109"/>
      <c r="F38" s="109"/>
      <c r="G38" s="109"/>
      <c r="H38" s="109"/>
      <c r="I38" s="109"/>
    </row>
    <row r="39" spans="2:9">
      <c r="B39" s="94" t="s">
        <v>8</v>
      </c>
      <c r="C39" s="95">
        <f>SUM(C32:C38)</f>
        <v>35235207.204191998</v>
      </c>
      <c r="D39" s="95">
        <f t="shared" ref="D39:I39" si="4">SUM(D32:D38)</f>
        <v>51047216.681176811</v>
      </c>
      <c r="E39" s="95">
        <f t="shared" si="4"/>
        <v>61399229.373570688</v>
      </c>
      <c r="F39" s="95">
        <f t="shared" si="4"/>
        <v>72658825.293501049</v>
      </c>
      <c r="G39" s="95">
        <f t="shared" si="4"/>
        <v>84890882.731990501</v>
      </c>
      <c r="H39" s="95">
        <f t="shared" si="4"/>
        <v>97854362.43140763</v>
      </c>
      <c r="I39" s="95">
        <f t="shared" si="4"/>
        <v>111901962.89393654</v>
      </c>
    </row>
    <row r="40" spans="2:9">
      <c r="B40" s="94"/>
      <c r="C40" s="95"/>
      <c r="D40" s="95"/>
      <c r="E40" s="95"/>
      <c r="F40" s="95"/>
      <c r="G40" s="95"/>
      <c r="H40" s="95"/>
      <c r="I40" s="95"/>
    </row>
    <row r="41" spans="2:9">
      <c r="B41" s="94" t="s">
        <v>38</v>
      </c>
      <c r="C41" s="95">
        <f>'6.Cons Profit &amp; Loss'!B23</f>
        <v>24767570.143021178</v>
      </c>
      <c r="D41" s="95">
        <f>'6.Cons Profit &amp; Loss'!C23</f>
        <v>36394841.907713644</v>
      </c>
      <c r="E41" s="95">
        <f>'6.Cons Profit &amp; Loss'!D23</f>
        <v>43827491.703195952</v>
      </c>
      <c r="F41" s="95">
        <f>'6.Cons Profit &amp; Loss'!E23</f>
        <v>51912419.373457201</v>
      </c>
      <c r="G41" s="95">
        <f>'6.Cons Profit &amp; Loss'!F23</f>
        <v>60696271.081486613</v>
      </c>
      <c r="H41" s="95">
        <f>'6.Cons Profit &amp; Loss'!G23</f>
        <v>70228726.911885291</v>
      </c>
      <c r="I41" s="95">
        <f>'6.Cons Profit &amp; Loss'!H23</f>
        <v>80562687.647620142</v>
      </c>
    </row>
    <row r="42" spans="2:9">
      <c r="B42" s="94"/>
      <c r="C42" s="95"/>
      <c r="D42" s="95"/>
      <c r="E42" s="95"/>
      <c r="F42" s="95"/>
      <c r="G42" s="95"/>
      <c r="H42" s="95"/>
      <c r="I42" s="95"/>
    </row>
    <row r="43" spans="2:9">
      <c r="B43" s="96" t="s">
        <v>39</v>
      </c>
      <c r="C43" s="114">
        <f>C39-C41</f>
        <v>10467637.06117082</v>
      </c>
      <c r="D43" s="114">
        <f t="shared" ref="D43:I43" si="5">D39-D41</f>
        <v>14652374.773463167</v>
      </c>
      <c r="E43" s="114">
        <f t="shared" si="5"/>
        <v>17571737.670374736</v>
      </c>
      <c r="F43" s="114">
        <f t="shared" si="5"/>
        <v>20746405.920043848</v>
      </c>
      <c r="G43" s="114">
        <f t="shared" si="5"/>
        <v>24194611.650503889</v>
      </c>
      <c r="H43" s="114">
        <f t="shared" si="5"/>
        <v>27625635.519522339</v>
      </c>
      <c r="I43" s="114">
        <f t="shared" si="5"/>
        <v>31339275.246316403</v>
      </c>
    </row>
    <row r="44" spans="2:9">
      <c r="B44" s="94"/>
      <c r="C44" s="95"/>
      <c r="D44" s="95"/>
      <c r="E44" s="95"/>
      <c r="F44" s="95"/>
      <c r="G44" s="95"/>
      <c r="H44" s="95"/>
      <c r="I44" s="95"/>
    </row>
    <row r="45" spans="2:9">
      <c r="B45" s="96" t="s">
        <v>41</v>
      </c>
      <c r="C45" s="114">
        <f>'6.Cons Profit &amp; Loss'!B34+'6.Cons Profit &amp; Loss'!B40+'6.Cons Profit &amp; Loss'!B41</f>
        <v>7476817.7149160001</v>
      </c>
      <c r="D45" s="114">
        <f>'6.Cons Profit &amp; Loss'!C34+'6.Cons Profit &amp; Loss'!C40+'6.Cons Profit &amp; Loss'!C41</f>
        <v>7748457.7149160001</v>
      </c>
      <c r="E45" s="114">
        <f>'6.Cons Profit &amp; Loss'!D34+'6.Cons Profit &amp; Loss'!D40+'6.Cons Profit &amp; Loss'!D41</f>
        <v>8033679.7149160001</v>
      </c>
      <c r="F45" s="114">
        <f>'6.Cons Profit &amp; Loss'!E34+'6.Cons Profit &amp; Loss'!E40+'6.Cons Profit &amp; Loss'!E41</f>
        <v>8333162.8149160016</v>
      </c>
      <c r="G45" s="114">
        <f>'6.Cons Profit &amp; Loss'!F34+'6.Cons Profit &amp; Loss'!F40+'6.Cons Profit &amp; Loss'!F41</f>
        <v>8647620.0699160006</v>
      </c>
      <c r="H45" s="114">
        <f>'6.Cons Profit &amp; Loss'!G34+'6.Cons Profit &amp; Loss'!G40+'6.Cons Profit &amp; Loss'!G41</f>
        <v>8965212.1876660027</v>
      </c>
      <c r="I45" s="114">
        <f>'6.Cons Profit &amp; Loss'!H34+'6.Cons Profit &amp; Loss'!H40+'6.Cons Profit &amp; Loss'!H41</f>
        <v>9311901.3113035019</v>
      </c>
    </row>
    <row r="46" spans="2:9">
      <c r="B46" s="94"/>
      <c r="C46" s="94"/>
      <c r="D46" s="94"/>
      <c r="E46" s="94"/>
      <c r="F46" s="94"/>
      <c r="G46" s="94"/>
      <c r="H46" s="94"/>
      <c r="I46" s="94"/>
    </row>
    <row r="47" spans="2:9">
      <c r="B47" s="94" t="s">
        <v>40</v>
      </c>
      <c r="C47" s="113">
        <f>C45/C43</f>
        <v>0.71427941867137179</v>
      </c>
      <c r="D47" s="113">
        <f>D45/D43</f>
        <v>0.52881924157094229</v>
      </c>
      <c r="E47" s="113">
        <f>E45/E43</f>
        <v>0.45719324210379436</v>
      </c>
      <c r="F47" s="113">
        <f>F45/F43</f>
        <v>0.40166778029080369</v>
      </c>
      <c r="G47" s="113">
        <f>G45/G43</f>
        <v>0.35741925494951687</v>
      </c>
      <c r="H47" s="113">
        <f t="shared" ref="H47:I47" si="6">H45/H43</f>
        <v>0.32452510210418556</v>
      </c>
      <c r="I47" s="113">
        <f t="shared" si="6"/>
        <v>0.29713199294224318</v>
      </c>
    </row>
    <row r="48" spans="2:9">
      <c r="B48" s="93"/>
      <c r="C48" s="93"/>
      <c r="D48" s="93"/>
      <c r="E48" s="93"/>
      <c r="F48" s="93"/>
      <c r="G48" s="93"/>
      <c r="H48" s="93"/>
      <c r="I48" s="93"/>
    </row>
    <row r="49" spans="2:10">
      <c r="B49" s="115" t="s">
        <v>133</v>
      </c>
      <c r="C49" s="116">
        <f>AVERAGE(C47:I47)</f>
        <v>0.44014800466183679</v>
      </c>
      <c r="D49" s="93"/>
      <c r="E49" s="93"/>
      <c r="F49" s="93"/>
      <c r="G49" s="93"/>
      <c r="H49" s="93"/>
      <c r="I49" s="93"/>
    </row>
    <row r="51" spans="2:10" ht="41.45" customHeight="1">
      <c r="B51" s="456" t="s">
        <v>426</v>
      </c>
      <c r="C51" s="456"/>
      <c r="D51" s="456"/>
      <c r="E51" s="456"/>
      <c r="F51" s="456"/>
      <c r="G51" s="456"/>
      <c r="H51" s="456"/>
      <c r="I51" s="456"/>
      <c r="J51" s="456"/>
    </row>
    <row r="54" spans="2:10" ht="18.75">
      <c r="B54" s="414" t="s">
        <v>556</v>
      </c>
      <c r="C54" s="414"/>
      <c r="D54" s="414"/>
      <c r="E54" s="414"/>
      <c r="F54" s="414"/>
      <c r="G54" s="414"/>
      <c r="H54" s="414"/>
      <c r="I54" s="414"/>
    </row>
    <row r="56" spans="2:10">
      <c r="B56" s="82" t="s">
        <v>29</v>
      </c>
      <c r="C56" s="83" t="s">
        <v>2</v>
      </c>
      <c r="D56" s="83" t="s">
        <v>3</v>
      </c>
      <c r="E56" s="83" t="s">
        <v>4</v>
      </c>
      <c r="F56" s="83" t="s">
        <v>5</v>
      </c>
      <c r="G56" s="83" t="s">
        <v>6</v>
      </c>
      <c r="H56" s="83" t="s">
        <v>167</v>
      </c>
      <c r="I56" s="83" t="s">
        <v>166</v>
      </c>
    </row>
    <row r="57" spans="2:10">
      <c r="B57" s="94"/>
      <c r="C57" s="94"/>
      <c r="D57" s="94"/>
      <c r="E57" s="94"/>
      <c r="F57" s="94"/>
      <c r="G57" s="94"/>
      <c r="H57" s="94"/>
      <c r="I57" s="94"/>
    </row>
    <row r="58" spans="2:10">
      <c r="B58" s="94" t="s">
        <v>374</v>
      </c>
      <c r="C58" s="326">
        <f>'6.Cons Profit &amp; Loss'!B49</f>
        <v>1164197.0685433513</v>
      </c>
      <c r="D58" s="326">
        <f>'6.Cons Profit &amp; Loss'!C49</f>
        <v>4071525.7867724625</v>
      </c>
      <c r="E58" s="326">
        <f>'6.Cons Profit &amp; Loss'!D49</f>
        <v>6356236.883630746</v>
      </c>
      <c r="F58" s="326">
        <f>'6.Cons Profit &amp; Loss'!E49</f>
        <v>8927825.9822073597</v>
      </c>
      <c r="G58" s="326">
        <f>'6.Cons Profit &amp; Loss'!F49</f>
        <v>11806992.161497047</v>
      </c>
      <c r="H58" s="326">
        <f>'6.Cons Profit &amp; Loss'!G49</f>
        <v>14797517.352957189</v>
      </c>
      <c r="I58" s="326">
        <f>'6.Cons Profit &amp; Loss'!H49</f>
        <v>18117381.558995545</v>
      </c>
    </row>
    <row r="59" spans="2:10">
      <c r="B59" s="94"/>
      <c r="C59" s="326"/>
      <c r="D59" s="326"/>
      <c r="E59" s="326"/>
      <c r="F59" s="326"/>
      <c r="G59" s="326"/>
      <c r="H59" s="326"/>
      <c r="I59" s="326"/>
    </row>
    <row r="60" spans="2:10">
      <c r="B60" s="94" t="s">
        <v>42</v>
      </c>
      <c r="C60" s="326">
        <f>'6.Cons Profit &amp; Loss'!B40</f>
        <v>2031429.7149159999</v>
      </c>
      <c r="D60" s="326">
        <f>'6.Cons Profit &amp; Loss'!C40</f>
        <v>2031429.7149159999</v>
      </c>
      <c r="E60" s="326">
        <f>'6.Cons Profit &amp; Loss'!D40</f>
        <v>2031429.7149159999</v>
      </c>
      <c r="F60" s="326">
        <f>'6.Cons Profit &amp; Loss'!E40</f>
        <v>2031429.7149159999</v>
      </c>
      <c r="G60" s="326">
        <f>'6.Cons Profit &amp; Loss'!F40</f>
        <v>2031429.7149159999</v>
      </c>
      <c r="H60" s="326">
        <f>'6.Cons Profit &amp; Loss'!G40</f>
        <v>2031429.7149159999</v>
      </c>
      <c r="I60" s="326">
        <f>'6.Cons Profit &amp; Loss'!H40</f>
        <v>2031429.7149159999</v>
      </c>
    </row>
    <row r="61" spans="2:10">
      <c r="B61" s="108" t="s">
        <v>48</v>
      </c>
      <c r="C61" s="326">
        <f>'6.Cons Profit &amp; Loss'!B41</f>
        <v>12588</v>
      </c>
      <c r="D61" s="326">
        <f>'6.Cons Profit &amp; Loss'!C41</f>
        <v>12588</v>
      </c>
      <c r="E61" s="326">
        <f>'6.Cons Profit &amp; Loss'!D41</f>
        <v>12588</v>
      </c>
      <c r="F61" s="326">
        <f>'6.Cons Profit &amp; Loss'!E41</f>
        <v>12588</v>
      </c>
      <c r="G61" s="326">
        <f>'6.Cons Profit &amp; Loss'!F41</f>
        <v>12588</v>
      </c>
      <c r="H61" s="326">
        <f>'6.Cons Profit &amp; Loss'!G41</f>
        <v>0</v>
      </c>
      <c r="I61" s="326">
        <f>'6.Cons Profit &amp; Loss'!H41</f>
        <v>0</v>
      </c>
    </row>
    <row r="62" spans="2:10">
      <c r="B62" s="94"/>
      <c r="C62" s="326"/>
      <c r="D62" s="326"/>
      <c r="E62" s="326"/>
      <c r="F62" s="326"/>
      <c r="G62" s="326"/>
      <c r="H62" s="326"/>
      <c r="I62" s="326"/>
    </row>
    <row r="63" spans="2:10">
      <c r="B63" s="94" t="s">
        <v>32</v>
      </c>
      <c r="C63" s="326">
        <f>SUM(C58:C61)</f>
        <v>3208214.7834593514</v>
      </c>
      <c r="D63" s="326">
        <f t="shared" ref="D63:I63" si="7">SUM(D58:D61)</f>
        <v>6115543.5016884627</v>
      </c>
      <c r="E63" s="326">
        <f t="shared" si="7"/>
        <v>8400254.5985467471</v>
      </c>
      <c r="F63" s="326">
        <f t="shared" si="7"/>
        <v>10971843.69712336</v>
      </c>
      <c r="G63" s="326">
        <f t="shared" si="7"/>
        <v>13851009.876413047</v>
      </c>
      <c r="H63" s="326">
        <f t="shared" si="7"/>
        <v>16828947.067873187</v>
      </c>
      <c r="I63" s="326">
        <f t="shared" si="7"/>
        <v>20148811.273911543</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2916558.8940539556</v>
      </c>
      <c r="D67" s="95">
        <f t="shared" ref="D67:I67" si="9">D63*D65</f>
        <v>5054168.1832136046</v>
      </c>
      <c r="E67" s="95">
        <f t="shared" si="9"/>
        <v>6311235.6112297112</v>
      </c>
      <c r="F67" s="95">
        <f t="shared" si="9"/>
        <v>7493916.8752976963</v>
      </c>
      <c r="G67" s="95">
        <f t="shared" si="9"/>
        <v>8600387.3781678118</v>
      </c>
      <c r="H67" s="95">
        <f t="shared" si="9"/>
        <v>9499501.8900693674</v>
      </c>
      <c r="I67" s="95">
        <f t="shared" si="9"/>
        <v>10339526.077906091</v>
      </c>
    </row>
    <row r="68" spans="2:10">
      <c r="B68" s="93"/>
      <c r="C68" s="111"/>
      <c r="D68" s="111"/>
      <c r="E68" s="111"/>
      <c r="F68" s="111"/>
      <c r="G68" s="111"/>
      <c r="H68" s="111"/>
      <c r="I68" s="111"/>
    </row>
    <row r="69" spans="2:10" ht="16.5">
      <c r="B69" s="12" t="s">
        <v>45</v>
      </c>
      <c r="C69" s="111">
        <f>SUM(C67:I67)</f>
        <v>50215294.909938231</v>
      </c>
      <c r="D69" s="111"/>
      <c r="E69" s="111"/>
      <c r="F69" s="111"/>
      <c r="G69" s="111"/>
      <c r="H69" s="111"/>
      <c r="I69" s="111"/>
    </row>
    <row r="70" spans="2:10">
      <c r="B70" s="93"/>
      <c r="C70" s="111"/>
      <c r="D70" s="111"/>
      <c r="E70" s="111"/>
      <c r="F70" s="111"/>
      <c r="G70" s="111"/>
      <c r="H70" s="111"/>
      <c r="I70" s="111"/>
    </row>
    <row r="71" spans="2:10" ht="16.5">
      <c r="B71" s="12" t="s">
        <v>46</v>
      </c>
      <c r="C71" s="111">
        <f>'1.Project Cost and MOF'!D13</f>
        <v>42097052.117505975</v>
      </c>
      <c r="D71" s="111"/>
      <c r="E71" s="111"/>
      <c r="F71" s="111"/>
      <c r="G71" s="111"/>
      <c r="H71" s="111"/>
      <c r="I71" s="111"/>
    </row>
    <row r="72" spans="2:10">
      <c r="B72" s="93"/>
      <c r="C72" s="110"/>
      <c r="D72" s="93"/>
      <c r="E72" s="93"/>
      <c r="F72" s="93"/>
      <c r="G72" s="93"/>
      <c r="H72" s="93"/>
      <c r="I72" s="93"/>
    </row>
    <row r="73" spans="2:10" ht="16.5">
      <c r="B73" s="12" t="s">
        <v>47</v>
      </c>
      <c r="C73" s="110">
        <f>C69-C71</f>
        <v>8118242.792432256</v>
      </c>
      <c r="D73" s="93"/>
      <c r="E73" s="93"/>
      <c r="F73" s="93"/>
      <c r="G73" s="93"/>
      <c r="H73" s="93"/>
      <c r="I73" s="93"/>
    </row>
    <row r="75" spans="2:10" ht="35.1" customHeight="1">
      <c r="B75" s="426" t="s">
        <v>427</v>
      </c>
      <c r="C75" s="426"/>
      <c r="D75" s="426"/>
      <c r="E75" s="426"/>
      <c r="F75" s="426"/>
      <c r="G75" s="426"/>
      <c r="H75" s="426"/>
      <c r="I75" s="426"/>
      <c r="J75" s="426"/>
    </row>
    <row r="76" spans="2:10" ht="18.75">
      <c r="B76" s="414" t="s">
        <v>557</v>
      </c>
      <c r="C76" s="414"/>
      <c r="D76" s="414"/>
      <c r="E76" s="414"/>
      <c r="F76" s="414"/>
      <c r="G76" s="414"/>
      <c r="H76" s="414"/>
      <c r="I76" s="414"/>
    </row>
    <row r="77" spans="2:10">
      <c r="B77" s="93"/>
      <c r="C77" s="93"/>
      <c r="D77" s="93"/>
      <c r="E77" s="93"/>
      <c r="F77" s="93"/>
      <c r="G77" s="93"/>
      <c r="H77" s="93"/>
      <c r="I77" s="93"/>
    </row>
    <row r="78" spans="2:10" ht="15.75">
      <c r="B78" s="72" t="s">
        <v>0</v>
      </c>
      <c r="C78" s="72" t="s">
        <v>2</v>
      </c>
      <c r="D78" s="72" t="s">
        <v>3</v>
      </c>
      <c r="E78" s="72" t="s">
        <v>4</v>
      </c>
      <c r="F78" s="72" t="s">
        <v>5</v>
      </c>
      <c r="G78" s="72" t="s">
        <v>6</v>
      </c>
      <c r="H78" s="72" t="s">
        <v>167</v>
      </c>
      <c r="I78" s="72" t="s">
        <v>166</v>
      </c>
    </row>
    <row r="79" spans="2:10" ht="15.75">
      <c r="B79" s="69"/>
      <c r="C79" s="70"/>
      <c r="D79" s="70"/>
      <c r="E79" s="70"/>
      <c r="F79" s="70"/>
      <c r="G79" s="70"/>
      <c r="H79" s="70"/>
      <c r="I79" s="70"/>
    </row>
    <row r="80" spans="2:10">
      <c r="B80" s="96" t="s">
        <v>27</v>
      </c>
      <c r="C80" s="95">
        <f>'6.Cons Profit &amp; Loss'!B49</f>
        <v>1164197.0685433513</v>
      </c>
      <c r="D80" s="95">
        <f>'6.Cons Profit &amp; Loss'!C49</f>
        <v>4071525.7867724625</v>
      </c>
      <c r="E80" s="95">
        <f>'6.Cons Profit &amp; Loss'!D49</f>
        <v>6356236.883630746</v>
      </c>
      <c r="F80" s="95">
        <f>'6.Cons Profit &amp; Loss'!E49</f>
        <v>8927825.9822073597</v>
      </c>
      <c r="G80" s="95">
        <f>'6.Cons Profit &amp; Loss'!F49</f>
        <v>11806992.161497047</v>
      </c>
      <c r="H80" s="95">
        <f>'6.Cons Profit &amp; Loss'!G49</f>
        <v>14797517.352957189</v>
      </c>
      <c r="I80" s="95">
        <f>'6.Cons Profit &amp; Loss'!H49</f>
        <v>18117381.558995545</v>
      </c>
    </row>
    <row r="81" spans="2:10">
      <c r="B81" s="94"/>
      <c r="C81" s="94"/>
      <c r="D81" s="94"/>
      <c r="E81" s="94"/>
      <c r="F81" s="94"/>
      <c r="G81" s="94"/>
      <c r="H81" s="94"/>
      <c r="I81" s="94"/>
    </row>
    <row r="82" spans="2:10">
      <c r="B82" s="96" t="s">
        <v>124</v>
      </c>
      <c r="C82" s="463">
        <f>AVERAGE(C80:I80)</f>
        <v>9320239.5420862436</v>
      </c>
      <c r="D82" s="463"/>
      <c r="E82" s="463"/>
      <c r="F82" s="463"/>
      <c r="G82" s="463"/>
      <c r="H82" s="463"/>
      <c r="I82" s="463"/>
    </row>
    <row r="83" spans="2:10">
      <c r="B83" s="96" t="s">
        <v>125</v>
      </c>
      <c r="C83" s="463">
        <f>'1.Project Cost and MOF'!D13</f>
        <v>42097052.117505975</v>
      </c>
      <c r="D83" s="463"/>
      <c r="E83" s="463"/>
      <c r="F83" s="463"/>
      <c r="G83" s="463"/>
      <c r="H83" s="463"/>
      <c r="I83" s="463"/>
    </row>
    <row r="84" spans="2:10">
      <c r="B84" s="94"/>
      <c r="C84" s="94"/>
      <c r="D84" s="94"/>
      <c r="E84" s="94"/>
      <c r="F84" s="94"/>
      <c r="G84" s="94"/>
      <c r="H84" s="94"/>
      <c r="I84" s="94"/>
    </row>
    <row r="85" spans="2:10">
      <c r="B85" s="255" t="s">
        <v>126</v>
      </c>
      <c r="C85" s="464">
        <f>C82/C83</f>
        <v>0.22139886460625685</v>
      </c>
      <c r="D85" s="464"/>
      <c r="E85" s="464"/>
      <c r="F85" s="464"/>
      <c r="G85" s="464"/>
      <c r="H85" s="464"/>
      <c r="I85" s="464"/>
    </row>
    <row r="88" spans="2:10">
      <c r="B88" s="462" t="s">
        <v>428</v>
      </c>
      <c r="C88" s="462"/>
      <c r="D88" s="462"/>
      <c r="E88" s="462"/>
      <c r="F88" s="462"/>
      <c r="G88" s="462"/>
      <c r="H88" s="462"/>
      <c r="I88" s="462"/>
    </row>
    <row r="90" spans="2:10" ht="18.75">
      <c r="B90" s="414" t="s">
        <v>558</v>
      </c>
      <c r="C90" s="414"/>
      <c r="D90" s="414"/>
      <c r="E90" s="414"/>
      <c r="F90" s="414"/>
      <c r="G90" s="414"/>
      <c r="H90" s="414"/>
      <c r="I90" s="414"/>
      <c r="J90" s="414"/>
    </row>
    <row r="92" spans="2:10">
      <c r="B92" s="103" t="s">
        <v>0</v>
      </c>
      <c r="C92" s="103" t="s">
        <v>335</v>
      </c>
      <c r="D92" s="103" t="s">
        <v>2</v>
      </c>
      <c r="E92" s="103" t="s">
        <v>3</v>
      </c>
      <c r="F92" s="103" t="s">
        <v>4</v>
      </c>
      <c r="G92" s="103" t="s">
        <v>5</v>
      </c>
      <c r="H92" s="103" t="s">
        <v>6</v>
      </c>
      <c r="I92" s="103" t="s">
        <v>167</v>
      </c>
      <c r="J92" s="103" t="s">
        <v>166</v>
      </c>
    </row>
    <row r="93" spans="2:10">
      <c r="B93" s="104"/>
      <c r="C93" s="104"/>
      <c r="D93" s="105"/>
      <c r="E93" s="105"/>
      <c r="F93" s="105"/>
      <c r="G93" s="105"/>
      <c r="H93" s="105"/>
      <c r="I93" s="105"/>
      <c r="J93" s="105"/>
    </row>
    <row r="94" spans="2:10">
      <c r="B94" s="24" t="s">
        <v>281</v>
      </c>
      <c r="C94" s="106">
        <f>'1.Project Cost and MOF'!D13</f>
        <v>42097052.117505975</v>
      </c>
      <c r="D94" s="105"/>
      <c r="E94" s="105"/>
      <c r="F94" s="105"/>
      <c r="G94" s="105"/>
      <c r="H94" s="105"/>
      <c r="I94" s="105"/>
      <c r="J94" s="105"/>
    </row>
    <row r="95" spans="2:10">
      <c r="B95" s="25" t="str">
        <f>B58</f>
        <v>Profit after Tax &amp; Dividend</v>
      </c>
      <c r="C95" s="25"/>
      <c r="D95" s="26">
        <f>'6.Cons Profit &amp; Loss'!B49</f>
        <v>1164197.0685433513</v>
      </c>
      <c r="E95" s="26">
        <f>'6.Cons Profit &amp; Loss'!C49</f>
        <v>4071525.7867724625</v>
      </c>
      <c r="F95" s="26">
        <f>'6.Cons Profit &amp; Loss'!D49</f>
        <v>6356236.883630746</v>
      </c>
      <c r="G95" s="26">
        <f>'6.Cons Profit &amp; Loss'!E49</f>
        <v>8927825.9822073597</v>
      </c>
      <c r="H95" s="26">
        <f>'6.Cons Profit &amp; Loss'!F49</f>
        <v>11806992.161497047</v>
      </c>
      <c r="I95" s="26">
        <f>'6.Cons Profit &amp; Loss'!G49</f>
        <v>14797517.352957189</v>
      </c>
      <c r="J95" s="26">
        <f>'6.Cons Profit &amp; Loss'!H49</f>
        <v>18117381.558995545</v>
      </c>
    </row>
    <row r="96" spans="2:10">
      <c r="B96" s="25" t="str">
        <f>B60</f>
        <v>Add: Deprication</v>
      </c>
      <c r="C96" s="25"/>
      <c r="D96" s="91">
        <f>'6.Cons Profit &amp; Loss'!B40</f>
        <v>2031429.7149159999</v>
      </c>
      <c r="E96" s="91">
        <f>'6.Cons Profit &amp; Loss'!C40</f>
        <v>2031429.7149159999</v>
      </c>
      <c r="F96" s="91">
        <f>'6.Cons Profit &amp; Loss'!D40</f>
        <v>2031429.7149159999</v>
      </c>
      <c r="G96" s="91">
        <f>'6.Cons Profit &amp; Loss'!E40</f>
        <v>2031429.7149159999</v>
      </c>
      <c r="H96" s="91">
        <f>'6.Cons Profit &amp; Loss'!F40</f>
        <v>2031429.7149159999</v>
      </c>
      <c r="I96" s="91">
        <f>'6.Cons Profit &amp; Loss'!G40</f>
        <v>2031429.7149159999</v>
      </c>
      <c r="J96" s="91">
        <f>'6.Cons Profit &amp; Loss'!H40</f>
        <v>2031429.7149159999</v>
      </c>
    </row>
    <row r="97" spans="2:10">
      <c r="B97" s="25" t="str">
        <f>B61</f>
        <v>Add. Preliminary exp Written off</v>
      </c>
      <c r="C97" s="25"/>
      <c r="D97" s="91">
        <f>'6.Cons Profit &amp; Loss'!B41</f>
        <v>12588</v>
      </c>
      <c r="E97" s="91">
        <f>'6.Cons Profit &amp; Loss'!C41</f>
        <v>12588</v>
      </c>
      <c r="F97" s="91">
        <f>'6.Cons Profit &amp; Loss'!D41</f>
        <v>12588</v>
      </c>
      <c r="G97" s="91">
        <f>'6.Cons Profit &amp; Loss'!E41</f>
        <v>12588</v>
      </c>
      <c r="H97" s="91">
        <f>'6.Cons Profit &amp; Loss'!F41</f>
        <v>12588</v>
      </c>
      <c r="I97" s="91">
        <f>'6.Cons Profit &amp; Loss'!G41</f>
        <v>0</v>
      </c>
      <c r="J97" s="91">
        <f>'6.Cons Profit &amp; Loss'!H41</f>
        <v>0</v>
      </c>
    </row>
    <row r="98" spans="2:10">
      <c r="B98" s="25" t="str">
        <f>B63</f>
        <v xml:space="preserve">Net Cash Accrual (A)      </v>
      </c>
      <c r="C98" s="25"/>
      <c r="D98" s="254">
        <f>SUM(D95:D97)</f>
        <v>3208214.7834593514</v>
      </c>
      <c r="E98" s="254">
        <f t="shared" ref="E98:J98" si="10">SUM(E95:E97)</f>
        <v>6115543.5016884627</v>
      </c>
      <c r="F98" s="254">
        <f t="shared" si="10"/>
        <v>8400254.5985467471</v>
      </c>
      <c r="G98" s="254">
        <f t="shared" si="10"/>
        <v>10971843.69712336</v>
      </c>
      <c r="H98" s="254">
        <f t="shared" si="10"/>
        <v>13851009.876413047</v>
      </c>
      <c r="I98" s="254">
        <f t="shared" si="10"/>
        <v>16828947.067873187</v>
      </c>
      <c r="J98" s="254">
        <f t="shared" si="10"/>
        <v>20148811.273911543</v>
      </c>
    </row>
    <row r="99" spans="2:10">
      <c r="B99" s="24" t="s">
        <v>282</v>
      </c>
      <c r="C99" s="107"/>
      <c r="D99" s="71">
        <f>D98-C94</f>
        <v>-38888837.334046625</v>
      </c>
      <c r="E99" s="71">
        <f>D99+E98</f>
        <v>-32773293.832358163</v>
      </c>
      <c r="F99" s="71">
        <f>E99+F98</f>
        <v>-24373039.233811416</v>
      </c>
      <c r="G99" s="71">
        <f>F99+G98</f>
        <v>-13401195.536688056</v>
      </c>
      <c r="H99" s="71">
        <f>G99+H98</f>
        <v>449814.33972499147</v>
      </c>
      <c r="I99" s="92"/>
      <c r="J99" s="92"/>
    </row>
    <row r="100" spans="2:10">
      <c r="B100" s="7"/>
      <c r="C100" s="7"/>
      <c r="D100" s="7"/>
      <c r="E100" s="7"/>
      <c r="F100" s="7"/>
      <c r="G100" s="7"/>
      <c r="H100" s="7"/>
      <c r="I100" s="7"/>
      <c r="J100" s="7"/>
    </row>
    <row r="101" spans="2:10">
      <c r="B101" s="27" t="s">
        <v>283</v>
      </c>
      <c r="C101" s="7"/>
      <c r="D101" s="64">
        <f>4+(-G99/H98)</f>
        <v>4.967524798282688</v>
      </c>
      <c r="E101" s="7"/>
      <c r="F101" s="7"/>
      <c r="G101" s="7"/>
      <c r="H101" s="7"/>
      <c r="I101" s="7"/>
      <c r="J101" s="7"/>
    </row>
    <row r="102" spans="2:10">
      <c r="B102" s="7"/>
      <c r="C102" s="7"/>
      <c r="D102" s="7"/>
      <c r="E102" s="7"/>
      <c r="F102" s="7"/>
      <c r="G102" s="7"/>
      <c r="H102" s="7"/>
      <c r="I102" s="7"/>
      <c r="J102" s="7"/>
    </row>
    <row r="103" spans="2:10">
      <c r="B103" s="462" t="s">
        <v>429</v>
      </c>
      <c r="C103" s="462"/>
      <c r="D103" s="462"/>
      <c r="E103" s="462"/>
      <c r="F103" s="462"/>
      <c r="G103" s="462"/>
      <c r="H103" s="462"/>
      <c r="I103" s="462"/>
      <c r="J103" s="462"/>
    </row>
    <row r="105" spans="2:10" ht="18.75">
      <c r="B105" s="414" t="s">
        <v>559</v>
      </c>
      <c r="C105" s="414"/>
      <c r="D105" s="414"/>
      <c r="E105" s="414"/>
      <c r="F105" s="414"/>
      <c r="G105" s="414"/>
      <c r="H105" s="414"/>
      <c r="I105" s="414"/>
    </row>
    <row r="107" spans="2:10" ht="15.75">
      <c r="B107" s="72" t="s">
        <v>0</v>
      </c>
      <c r="C107" s="72" t="s">
        <v>2</v>
      </c>
      <c r="D107" s="72" t="s">
        <v>3</v>
      </c>
      <c r="E107" s="72" t="s">
        <v>4</v>
      </c>
      <c r="F107" s="72" t="s">
        <v>5</v>
      </c>
      <c r="G107" s="72" t="s">
        <v>6</v>
      </c>
      <c r="H107" s="72" t="s">
        <v>167</v>
      </c>
      <c r="I107" s="72" t="s">
        <v>166</v>
      </c>
    </row>
    <row r="108" spans="2:10" ht="15.75">
      <c r="B108" s="69"/>
      <c r="C108" s="70"/>
      <c r="D108" s="70"/>
      <c r="E108" s="70"/>
      <c r="F108" s="70"/>
      <c r="G108" s="70"/>
      <c r="H108" s="70"/>
      <c r="I108" s="70"/>
    </row>
    <row r="109" spans="2:10">
      <c r="B109" s="94" t="s">
        <v>338</v>
      </c>
      <c r="C109" s="95">
        <f>'6.Cons Profit &amp; Loss'!B38</f>
        <v>5034837.0611708201</v>
      </c>
      <c r="D109" s="95">
        <f>'6.Cons Profit &amp; Loss'!C38</f>
        <v>8947934.7734631673</v>
      </c>
      <c r="E109" s="95">
        <f>'6.Cons Profit &amp; Loss'!D38</f>
        <v>11582075.670374736</v>
      </c>
      <c r="F109" s="95">
        <f>'6.Cons Profit &amp; Loss'!E38</f>
        <v>14457260.820043847</v>
      </c>
      <c r="G109" s="95">
        <f>'6.Cons Profit &amp; Loss'!F38</f>
        <v>17591009.295503885</v>
      </c>
      <c r="H109" s="95">
        <f>'6.Cons Profit &amp; Loss'!G38</f>
        <v>20691853.046772331</v>
      </c>
      <c r="I109" s="95">
        <f>'6.Cons Profit &amp; Loss'!H38</f>
        <v>24058803.649928898</v>
      </c>
    </row>
    <row r="110" spans="2:10">
      <c r="B110" s="94" t="s">
        <v>348</v>
      </c>
      <c r="C110" s="95">
        <f>'6.Cons Profit &amp; Loss'!B40</f>
        <v>2031429.7149159999</v>
      </c>
      <c r="D110" s="95">
        <f>'6.Cons Profit &amp; Loss'!C40</f>
        <v>2031429.7149159999</v>
      </c>
      <c r="E110" s="95">
        <f>'6.Cons Profit &amp; Loss'!D40</f>
        <v>2031429.7149159999</v>
      </c>
      <c r="F110" s="95">
        <f>'6.Cons Profit &amp; Loss'!E40</f>
        <v>2031429.7149159999</v>
      </c>
      <c r="G110" s="95">
        <f>'6.Cons Profit &amp; Loss'!F40</f>
        <v>2031429.7149159999</v>
      </c>
      <c r="H110" s="95">
        <f>'6.Cons Profit &amp; Loss'!G40</f>
        <v>2031429.7149159999</v>
      </c>
      <c r="I110" s="95">
        <f>'6.Cons Profit &amp; Loss'!H40</f>
        <v>2031429.7149159999</v>
      </c>
    </row>
    <row r="111" spans="2:10">
      <c r="B111" s="94" t="s">
        <v>349</v>
      </c>
      <c r="C111" s="95">
        <f>'6.Cons Profit &amp; Loss'!B41</f>
        <v>12588</v>
      </c>
      <c r="D111" s="95">
        <f>'6.Cons Profit &amp; Loss'!C41</f>
        <v>12588</v>
      </c>
      <c r="E111" s="95">
        <f>'6.Cons Profit &amp; Loss'!D41</f>
        <v>12588</v>
      </c>
      <c r="F111" s="95">
        <f>'6.Cons Profit &amp; Loss'!E41</f>
        <v>12588</v>
      </c>
      <c r="G111" s="95">
        <f>'6.Cons Profit &amp; Loss'!F41</f>
        <v>12588</v>
      </c>
      <c r="H111" s="95">
        <f>'6.Cons Profit &amp; Loss'!G41</f>
        <v>0</v>
      </c>
      <c r="I111" s="95">
        <f>'6.Cons Profit &amp; Loss'!H41</f>
        <v>0</v>
      </c>
    </row>
    <row r="112" spans="2:10">
      <c r="B112" s="94" t="s">
        <v>350</v>
      </c>
      <c r="C112" s="95">
        <f>'8.Cash Flow '!C26</f>
        <v>1954335.8588029749</v>
      </c>
      <c r="D112" s="95">
        <f>'8.Cash Flow '!D26</f>
        <v>1327210.0414669216</v>
      </c>
      <c r="E112" s="95">
        <f>'8.Cash Flow '!E26</f>
        <v>495636.72328575351</v>
      </c>
      <c r="F112" s="95">
        <f>'8.Cash Flow '!F26</f>
        <v>-460125.44166711898</v>
      </c>
      <c r="G112" s="95">
        <f>'8.Cash Flow '!G26</f>
        <v>-1558623.0677734795</v>
      </c>
      <c r="H112" s="95">
        <f>'8.Cash Flow '!H26</f>
        <v>-2821172.5584418084</v>
      </c>
      <c r="I112" s="95">
        <f>'8.Cash Flow '!I26</f>
        <v>-4272273.75202101</v>
      </c>
    </row>
    <row r="113" spans="2:18">
      <c r="B113" s="96" t="s">
        <v>1</v>
      </c>
      <c r="C113" s="97">
        <f>SUM(C109:C112)</f>
        <v>9033190.6348897945</v>
      </c>
      <c r="D113" s="97">
        <f t="shared" ref="D113:I113" si="11">SUM(D109:D112)</f>
        <v>12319162.529846089</v>
      </c>
      <c r="E113" s="97">
        <f t="shared" si="11"/>
        <v>14121730.10857649</v>
      </c>
      <c r="F113" s="97">
        <f t="shared" si="11"/>
        <v>16041153.093292728</v>
      </c>
      <c r="G113" s="97">
        <f t="shared" si="11"/>
        <v>18076403.942646403</v>
      </c>
      <c r="H113" s="97">
        <f t="shared" si="11"/>
        <v>19902110.203246519</v>
      </c>
      <c r="I113" s="97">
        <f t="shared" si="11"/>
        <v>21817959.612823885</v>
      </c>
    </row>
    <row r="114" spans="2:18">
      <c r="B114" s="94"/>
      <c r="C114" s="94"/>
      <c r="D114" s="94"/>
      <c r="E114" s="94"/>
      <c r="F114" s="94"/>
      <c r="G114" s="94"/>
      <c r="H114" s="94"/>
      <c r="I114" s="94"/>
    </row>
    <row r="115" spans="2:18">
      <c r="B115" s="98" t="s">
        <v>284</v>
      </c>
      <c r="C115" s="99">
        <f>'8.Cash Flow '!C25+'8.Cash Flow '!C26</f>
        <v>4460956.7469191309</v>
      </c>
      <c r="D115" s="99">
        <f>'8.Cash Flow '!D25+'8.Cash Flow '!D26</f>
        <v>6895457.1223182632</v>
      </c>
      <c r="E115" s="99">
        <f>'8.Cash Flow '!E25+'8.Cash Flow '!E26</f>
        <v>6895457.1223182622</v>
      </c>
      <c r="F115" s="99">
        <f>'8.Cash Flow '!F25+'8.Cash Flow '!F26</f>
        <v>6895457.1223182622</v>
      </c>
      <c r="G115" s="99">
        <f>'8.Cash Flow '!G25+'8.Cash Flow '!G26</f>
        <v>6895457.1223182622</v>
      </c>
      <c r="H115" s="99">
        <f>'8.Cash Flow '!H25+'8.Cash Flow '!H26</f>
        <v>6895457.1223182604</v>
      </c>
      <c r="I115" s="99">
        <f>'8.Cash Flow '!I25+'8.Cash Flow '!I26</f>
        <v>6895457.1223182613</v>
      </c>
    </row>
    <row r="116" spans="2:18">
      <c r="B116" s="94"/>
      <c r="C116" s="94"/>
      <c r="D116" s="94"/>
      <c r="E116" s="94"/>
      <c r="F116" s="94"/>
      <c r="G116" s="94"/>
      <c r="H116" s="94"/>
      <c r="I116" s="94"/>
    </row>
    <row r="117" spans="2:18">
      <c r="B117" s="100" t="s">
        <v>336</v>
      </c>
      <c r="C117" s="101">
        <f>C113/C115</f>
        <v>2.0249446805617168</v>
      </c>
      <c r="D117" s="101">
        <f t="shared" ref="D117:I117" si="12">D113/D115</f>
        <v>1.7865621250798769</v>
      </c>
      <c r="E117" s="101">
        <f t="shared" si="12"/>
        <v>2.047975914877235</v>
      </c>
      <c r="F117" s="101">
        <f t="shared" si="12"/>
        <v>2.3263364282801415</v>
      </c>
      <c r="G117" s="101">
        <f t="shared" si="12"/>
        <v>2.6214946481414843</v>
      </c>
      <c r="H117" s="101">
        <f t="shared" si="12"/>
        <v>2.8862640794081837</v>
      </c>
      <c r="I117" s="101">
        <f t="shared" si="12"/>
        <v>3.1641063421606281</v>
      </c>
    </row>
    <row r="118" spans="2:18">
      <c r="B118" s="93"/>
      <c r="C118" s="93"/>
      <c r="D118" s="93"/>
      <c r="E118" s="93"/>
      <c r="F118" s="93"/>
      <c r="G118" s="93"/>
      <c r="H118" s="93"/>
      <c r="I118" s="93"/>
    </row>
    <row r="119" spans="2:18">
      <c r="B119" s="93" t="s">
        <v>337</v>
      </c>
      <c r="C119" s="102">
        <f>AVERAGE(C117:I117)</f>
        <v>2.4082406026441809</v>
      </c>
      <c r="D119" s="93"/>
      <c r="E119" s="93"/>
      <c r="F119" s="93"/>
      <c r="G119" s="93"/>
      <c r="H119" s="93"/>
      <c r="I119" s="93"/>
    </row>
    <row r="121" spans="2:18" ht="29.45" customHeight="1">
      <c r="B121" s="426" t="s">
        <v>430</v>
      </c>
      <c r="C121" s="426"/>
      <c r="D121" s="426"/>
      <c r="E121" s="426"/>
      <c r="F121" s="426"/>
      <c r="G121" s="426"/>
      <c r="H121" s="426"/>
      <c r="I121" s="426"/>
      <c r="J121" s="426"/>
    </row>
    <row r="123" spans="2:18" ht="21">
      <c r="B123" s="458" t="s">
        <v>560</v>
      </c>
      <c r="C123" s="459"/>
      <c r="D123" s="459"/>
      <c r="E123" s="459"/>
      <c r="F123" s="459"/>
      <c r="G123" s="459"/>
      <c r="H123" s="459"/>
      <c r="I123" s="459"/>
      <c r="K123" s="418"/>
      <c r="L123" s="418"/>
      <c r="M123" s="418"/>
      <c r="N123" s="418"/>
      <c r="O123" s="418"/>
      <c r="P123" s="418"/>
      <c r="Q123" s="418"/>
      <c r="R123" s="418"/>
    </row>
    <row r="124" spans="2:18">
      <c r="B124" s="82" t="s">
        <v>351</v>
      </c>
      <c r="C124" s="83" t="s">
        <v>2</v>
      </c>
      <c r="D124" s="83" t="s">
        <v>3</v>
      </c>
      <c r="E124" s="83" t="s">
        <v>4</v>
      </c>
      <c r="F124" s="83" t="s">
        <v>5</v>
      </c>
      <c r="G124" s="83" t="s">
        <v>6</v>
      </c>
      <c r="H124" s="83" t="s">
        <v>167</v>
      </c>
      <c r="I124" s="83" t="s">
        <v>166</v>
      </c>
    </row>
    <row r="125" spans="2:18">
      <c r="B125" s="74" t="str">
        <f>'6.Cons Profit &amp; Loss'!A6</f>
        <v>Faclitiy 1 - Trading Activity</v>
      </c>
      <c r="C125" s="323">
        <f>'6.Cons Profit &amp; Loss'!B6*(1+$M$126)</f>
        <v>31245619.942630801</v>
      </c>
      <c r="D125" s="323">
        <f>'6.Cons Profit &amp; Loss'!C6*(1+$M$126)</f>
        <v>46447017.855659209</v>
      </c>
      <c r="E125" s="323">
        <f>'6.Cons Profit &amp; Loss'!D6*(1+$M$126)</f>
        <v>55940699.762439445</v>
      </c>
      <c r="F125" s="323">
        <f>'6.Cons Profit &amp; Loss'!E6*(1+$M$126)</f>
        <v>66267632.315258585</v>
      </c>
      <c r="G125" s="323">
        <f>'6.Cons Profit &amp; Loss'!F6*(1+$M$126)</f>
        <v>77487406.373953536</v>
      </c>
      <c r="H125" s="323">
        <f>'6.Cons Profit &amp; Loss'!G6*(1+$M$126)</f>
        <v>89663488.757729828</v>
      </c>
      <c r="I125" s="323">
        <f>'6.Cons Profit &amp; Loss'!H6*(1+$M$126)</f>
        <v>102863460.86394888</v>
      </c>
    </row>
    <row r="126" spans="2:18">
      <c r="B126" s="74" t="str">
        <f>'6.Cons Profit &amp; Loss'!A7</f>
        <v>Faclitiy 2 - Processing Unit- Cleaning, Grading</v>
      </c>
      <c r="C126" s="323">
        <f>'6.Cons Profit &amp; Loss'!B7*(1+$M$126)</f>
        <v>1042003.4776869601</v>
      </c>
      <c r="D126" s="323">
        <f>'6.Cons Profit &amp; Loss'!C7*(1+$M$126)</f>
        <v>1663938.8259529143</v>
      </c>
      <c r="E126" s="323">
        <f>'6.Cons Profit &amp; Loss'!D7*(1+$M$126)</f>
        <v>2333501.4423383712</v>
      </c>
      <c r="F126" s="323">
        <f>'6.Cons Profit &amp; Loss'!E7*(1+$M$126)</f>
        <v>3065860.4732974931</v>
      </c>
      <c r="G126" s="323">
        <f>'6.Cons Profit &amp; Loss'!F7*(1+$M$126)</f>
        <v>3865621.6537466804</v>
      </c>
      <c r="H126" s="323">
        <f>'6.Cons Profit &amp; Loss'!G7*(1+$M$126)</f>
        <v>4737694.3010575417</v>
      </c>
      <c r="I126" s="323">
        <f>'6.Cons Profit &amp; Loss'!H7*(1+$M$126)</f>
        <v>5687310.1589651238</v>
      </c>
      <c r="L126" s="5" t="s">
        <v>369</v>
      </c>
      <c r="M126" s="263">
        <v>0.03</v>
      </c>
    </row>
    <row r="127" spans="2:18">
      <c r="B127" s="74" t="str">
        <f>'6.Cons Profit &amp; Loss'!A8</f>
        <v>Faclitiy 3 - Warehouse</v>
      </c>
      <c r="C127" s="323">
        <f>'6.Cons Profit &amp; Loss'!B8*(1+$M$126)</f>
        <v>4004640</v>
      </c>
      <c r="D127" s="323">
        <f>'6.Cons Profit &amp; Loss'!C8*(1+$M$126)</f>
        <v>4467676.5000000009</v>
      </c>
      <c r="E127" s="323">
        <f>'6.Cons Profit &amp; Loss'!D8*(1+$M$126)</f>
        <v>4967005.0500000007</v>
      </c>
      <c r="F127" s="323">
        <f>'6.Cons Profit &amp; Loss'!E8*(1+$M$126)</f>
        <v>5505097.2637500018</v>
      </c>
      <c r="G127" s="323">
        <f>'6.Cons Profit &amp; Loss'!F8*(1+$M$126)</f>
        <v>6084581.1862500021</v>
      </c>
      <c r="H127" s="323">
        <f>'6.Cons Profit &amp; Loss'!G8*(1+$M$126)</f>
        <v>6388810.2455625031</v>
      </c>
      <c r="I127" s="323">
        <f>'6.Cons Profit &amp; Loss'!H8*(1+$M$126)</f>
        <v>6708250.7578406278</v>
      </c>
      <c r="L127" s="5" t="s">
        <v>370</v>
      </c>
      <c r="M127" s="263">
        <v>0.03</v>
      </c>
    </row>
    <row r="128" spans="2:18">
      <c r="B128" s="74" t="str">
        <f>'6.Cons Profit &amp; Loss'!A9</f>
        <v xml:space="preserve">Faclitiy 4 - Custom Hiring </v>
      </c>
      <c r="C128" s="323">
        <f>'6.Cons Profit &amp; Loss'!B9*(1+$M$126)</f>
        <v>0</v>
      </c>
      <c r="D128" s="323">
        <f>'6.Cons Profit &amp; Loss'!C9*(1+$M$126)</f>
        <v>0</v>
      </c>
      <c r="E128" s="323">
        <f>'6.Cons Profit &amp; Loss'!D9*(1+$M$126)</f>
        <v>0</v>
      </c>
      <c r="F128" s="323">
        <f>'6.Cons Profit &amp; Loss'!E9*(1+$M$126)</f>
        <v>0</v>
      </c>
      <c r="G128" s="323">
        <f>'6.Cons Profit &amp; Loss'!F9*(1+$M$126)</f>
        <v>0</v>
      </c>
      <c r="H128" s="323">
        <f>'6.Cons Profit &amp; Loss'!G9*(1+$M$126)</f>
        <v>0</v>
      </c>
      <c r="I128" s="323">
        <f>'6.Cons Profit &amp; Loss'!H9*(1+$M$126)</f>
        <v>0</v>
      </c>
    </row>
    <row r="129" spans="2:9">
      <c r="B129" s="74" t="str">
        <f>'6.Cons Profit &amp; Loss'!A10</f>
        <v>Faclitiy 5 - Agri Input Centre</v>
      </c>
      <c r="C129" s="323">
        <f>'6.Cons Profit &amp; Loss'!B10*(1+$M$126)</f>
        <v>0</v>
      </c>
      <c r="D129" s="323">
        <f>'6.Cons Profit &amp; Loss'!C10*(1+$M$126)</f>
        <v>0</v>
      </c>
      <c r="E129" s="323">
        <f>'6.Cons Profit &amp; Loss'!D10*(1+$M$126)</f>
        <v>0</v>
      </c>
      <c r="F129" s="323">
        <f>'6.Cons Profit &amp; Loss'!E10*(1+$M$126)</f>
        <v>0</v>
      </c>
      <c r="G129" s="323">
        <f>'6.Cons Profit &amp; Loss'!F10*(1+$M$126)</f>
        <v>0</v>
      </c>
      <c r="H129" s="323">
        <f>'6.Cons Profit &amp; Loss'!G10*(1+$M$126)</f>
        <v>0</v>
      </c>
      <c r="I129" s="323">
        <f>'6.Cons Profit &amp; Loss'!H10*(1+$M$126)</f>
        <v>0</v>
      </c>
    </row>
    <row r="130" spans="2:9">
      <c r="B130" s="74" t="str">
        <f>'6.Cons Profit &amp; Loss'!A11</f>
        <v>Facility 6 - Processing Unit - Horti Commodity</v>
      </c>
      <c r="C130" s="323">
        <f>'6.Cons Profit &amp; Loss'!B11*(1+$M$126)</f>
        <v>0</v>
      </c>
      <c r="D130" s="323">
        <f>'6.Cons Profit &amp; Loss'!C11*(1+$M$126)</f>
        <v>0</v>
      </c>
      <c r="E130" s="323">
        <f>'6.Cons Profit &amp; Loss'!D11*(1+$M$126)</f>
        <v>0</v>
      </c>
      <c r="F130" s="323">
        <f>'6.Cons Profit &amp; Loss'!E11*(1+$M$126)</f>
        <v>0</v>
      </c>
      <c r="G130" s="323">
        <f>'6.Cons Profit &amp; Loss'!F11*(1+$M$126)</f>
        <v>0</v>
      </c>
      <c r="H130" s="323">
        <f>'6.Cons Profit &amp; Loss'!G11*(1+$M$126)</f>
        <v>0</v>
      </c>
      <c r="I130" s="323">
        <f>'6.Cons Profit &amp; Loss'!H11*(1+$M$126)</f>
        <v>0</v>
      </c>
    </row>
    <row r="131" spans="2:9">
      <c r="B131" s="74">
        <f>'6.Cons Profit &amp; Loss'!A12</f>
        <v>0</v>
      </c>
      <c r="C131" s="323">
        <f>'6.Cons Profit &amp; Loss'!B12*(1+$M$126)</f>
        <v>0</v>
      </c>
      <c r="D131" s="323">
        <f>'6.Cons Profit &amp; Loss'!C12*(1+$M$126)</f>
        <v>0</v>
      </c>
      <c r="E131" s="323">
        <f>'6.Cons Profit &amp; Loss'!D12*(1+$M$126)</f>
        <v>0</v>
      </c>
      <c r="F131" s="323">
        <f>'6.Cons Profit &amp; Loss'!E12*(1+$M$126)</f>
        <v>0</v>
      </c>
      <c r="G131" s="323">
        <f>'6.Cons Profit &amp; Loss'!F12*(1+$M$126)</f>
        <v>0</v>
      </c>
      <c r="H131" s="323">
        <f>'6.Cons Profit &amp; Loss'!G12*(1+$M$126)</f>
        <v>0</v>
      </c>
      <c r="I131" s="323">
        <f>'6.Cons Profit &amp; Loss'!H12*(1+$M$126)</f>
        <v>0</v>
      </c>
    </row>
    <row r="132" spans="2:9">
      <c r="B132" s="74" t="s">
        <v>352</v>
      </c>
      <c r="C132" s="323">
        <f>SUM(C125:C131)</f>
        <v>36292263.420317762</v>
      </c>
      <c r="D132" s="323">
        <f t="shared" ref="D132:I132" si="13">SUM(D125:D131)</f>
        <v>52578633.181612127</v>
      </c>
      <c r="E132" s="323">
        <f t="shared" si="13"/>
        <v>63241206.254777819</v>
      </c>
      <c r="F132" s="323">
        <f t="shared" si="13"/>
        <v>74838590.052306086</v>
      </c>
      <c r="G132" s="323">
        <f t="shared" si="13"/>
        <v>87437609.213950217</v>
      </c>
      <c r="H132" s="323">
        <f t="shared" si="13"/>
        <v>100789993.30434988</v>
      </c>
      <c r="I132" s="323">
        <f t="shared" si="13"/>
        <v>115259021.78075464</v>
      </c>
    </row>
    <row r="133" spans="2:9">
      <c r="B133" s="74" t="s">
        <v>353</v>
      </c>
      <c r="C133" s="323"/>
      <c r="D133" s="323"/>
      <c r="E133" s="323"/>
      <c r="F133" s="323"/>
      <c r="G133" s="323"/>
      <c r="H133" s="323"/>
      <c r="I133" s="323"/>
    </row>
    <row r="134" spans="2:9">
      <c r="B134" s="74" t="s">
        <v>354</v>
      </c>
      <c r="C134" s="323">
        <f>'6.Cons Profit &amp; Loss'!B34</f>
        <v>5432800</v>
      </c>
      <c r="D134" s="323">
        <f>'6.Cons Profit &amp; Loss'!C34</f>
        <v>5704440</v>
      </c>
      <c r="E134" s="323">
        <f>'6.Cons Profit &amp; Loss'!D34</f>
        <v>5989662</v>
      </c>
      <c r="F134" s="323">
        <f>'6.Cons Profit &amp; Loss'!E34</f>
        <v>6289145.1000000015</v>
      </c>
      <c r="G134" s="323">
        <f>'6.Cons Profit &amp; Loss'!F34</f>
        <v>6603602.3550000014</v>
      </c>
      <c r="H134" s="323">
        <f>'6.Cons Profit &amp; Loss'!G34</f>
        <v>6933782.4727500025</v>
      </c>
      <c r="I134" s="323">
        <f>'6.Cons Profit &amp; Loss'!H34</f>
        <v>7280471.5963875018</v>
      </c>
    </row>
    <row r="135" spans="2:9">
      <c r="B135" s="74" t="s">
        <v>312</v>
      </c>
      <c r="C135" s="323">
        <f>'6.Cons Profit &amp; Loss'!B23*(1+M126)</f>
        <v>25510597.247311812</v>
      </c>
      <c r="D135" s="323">
        <f>'6.Cons Profit &amp; Loss'!C23*(1+N126)</f>
        <v>36394841.907713644</v>
      </c>
      <c r="E135" s="323">
        <f>'6.Cons Profit &amp; Loss'!D23*(1+O126)</f>
        <v>43827491.703195952</v>
      </c>
      <c r="F135" s="323">
        <f>'6.Cons Profit &amp; Loss'!E23*(1+P126)</f>
        <v>51912419.373457201</v>
      </c>
      <c r="G135" s="323">
        <f>'6.Cons Profit &amp; Loss'!F23*(1+Q126)</f>
        <v>60696271.081486613</v>
      </c>
      <c r="H135" s="323">
        <f>'6.Cons Profit &amp; Loss'!G23*(1+R126)</f>
        <v>70228726.911885291</v>
      </c>
      <c r="I135" s="323">
        <f>'6.Cons Profit &amp; Loss'!H23*(1+S126)</f>
        <v>80562687.647620142</v>
      </c>
    </row>
    <row r="136" spans="2:9">
      <c r="B136" s="74" t="s">
        <v>355</v>
      </c>
      <c r="C136" s="323">
        <f t="shared" ref="C136:I136" si="14">SUM(C134:C135)</f>
        <v>30943397.247311812</v>
      </c>
      <c r="D136" s="323">
        <f t="shared" si="14"/>
        <v>42099281.907713644</v>
      </c>
      <c r="E136" s="323">
        <f t="shared" si="14"/>
        <v>49817153.703195952</v>
      </c>
      <c r="F136" s="323">
        <f t="shared" si="14"/>
        <v>58201564.473457202</v>
      </c>
      <c r="G136" s="323">
        <f t="shared" si="14"/>
        <v>67299873.436486617</v>
      </c>
      <c r="H136" s="323">
        <f t="shared" si="14"/>
        <v>77162509.384635299</v>
      </c>
      <c r="I136" s="323">
        <f t="shared" si="14"/>
        <v>87843159.244007647</v>
      </c>
    </row>
    <row r="137" spans="2:9">
      <c r="B137" s="77" t="s">
        <v>356</v>
      </c>
      <c r="C137" s="325">
        <f t="shared" ref="C137:I137" si="15">+C132-C136</f>
        <v>5348866.1730059497</v>
      </c>
      <c r="D137" s="325">
        <f t="shared" si="15"/>
        <v>10479351.273898482</v>
      </c>
      <c r="E137" s="325">
        <f t="shared" si="15"/>
        <v>13424052.551581867</v>
      </c>
      <c r="F137" s="325">
        <f t="shared" si="15"/>
        <v>16637025.578848884</v>
      </c>
      <c r="G137" s="325">
        <f t="shared" si="15"/>
        <v>20137735.7774636</v>
      </c>
      <c r="H137" s="325">
        <f t="shared" si="15"/>
        <v>23627483.919714585</v>
      </c>
      <c r="I137" s="325">
        <f t="shared" si="15"/>
        <v>27415862.536746994</v>
      </c>
    </row>
    <row r="138" spans="2:9">
      <c r="B138" s="79"/>
      <c r="C138" s="80"/>
      <c r="D138" s="80"/>
      <c r="E138" s="80"/>
      <c r="F138" s="80"/>
      <c r="G138" s="80"/>
      <c r="H138" s="80"/>
      <c r="I138" s="80"/>
    </row>
    <row r="139" spans="2:9">
      <c r="B139" s="82" t="s">
        <v>357</v>
      </c>
      <c r="C139" s="83" t="s">
        <v>2</v>
      </c>
      <c r="D139" s="83" t="s">
        <v>3</v>
      </c>
      <c r="E139" s="83" t="s">
        <v>4</v>
      </c>
      <c r="F139" s="83" t="s">
        <v>5</v>
      </c>
      <c r="G139" s="83" t="s">
        <v>6</v>
      </c>
      <c r="H139" s="83" t="s">
        <v>167</v>
      </c>
      <c r="I139" s="83" t="s">
        <v>166</v>
      </c>
    </row>
    <row r="140" spans="2:9">
      <c r="B140" s="74" t="str">
        <f t="shared" ref="B140:B146" si="16">B125</f>
        <v>Faclitiy 1 - Trading Activity</v>
      </c>
      <c r="C140" s="76">
        <f>'6.Cons Profit &amp; Loss'!B6</f>
        <v>30335553.342360001</v>
      </c>
      <c r="D140" s="76">
        <f>'6.Cons Profit &amp; Loss'!C6</f>
        <v>45094192.092873015</v>
      </c>
      <c r="E140" s="76">
        <f>'6.Cons Profit &amp; Loss'!D6</f>
        <v>54311358.992659651</v>
      </c>
      <c r="F140" s="76">
        <f>'6.Cons Profit &amp; Loss'!E6</f>
        <v>64337507.102192797</v>
      </c>
      <c r="G140" s="76">
        <f>'6.Cons Profit &amp; Loss'!F6</f>
        <v>75230491.625197604</v>
      </c>
      <c r="H140" s="76">
        <f>'6.Cons Profit &amp; Loss'!G6</f>
        <v>87051930.8327474</v>
      </c>
      <c r="I140" s="76">
        <f>'6.Cons Profit &amp; Loss'!H6</f>
        <v>99867437.731989205</v>
      </c>
    </row>
    <row r="141" spans="2:9">
      <c r="B141" s="74" t="str">
        <f t="shared" si="16"/>
        <v>Faclitiy 2 - Processing Unit- Cleaning, Grading</v>
      </c>
      <c r="C141" s="76">
        <f>'6.Cons Profit &amp; Loss'!B7</f>
        <v>1011653.8618320001</v>
      </c>
      <c r="D141" s="76">
        <f>'6.Cons Profit &amp; Loss'!C7</f>
        <v>1615474.5883038002</v>
      </c>
      <c r="E141" s="76">
        <f>'6.Cons Profit &amp; Loss'!D7</f>
        <v>2265535.3809110401</v>
      </c>
      <c r="F141" s="76">
        <f>'6.Cons Profit &amp; Loss'!E7</f>
        <v>2976563.5663082455</v>
      </c>
      <c r="G141" s="76">
        <f>'6.Cons Profit &amp; Loss'!F7</f>
        <v>3753030.7317928933</v>
      </c>
      <c r="H141" s="76">
        <f>'6.Cons Profit &amp; Loss'!G7</f>
        <v>4599703.2049102345</v>
      </c>
      <c r="I141" s="76">
        <f>'6.Cons Profit &amp; Loss'!H7</f>
        <v>5521660.3485098286</v>
      </c>
    </row>
    <row r="142" spans="2:9">
      <c r="B142" s="74" t="str">
        <f t="shared" si="16"/>
        <v>Faclitiy 3 - Warehouse</v>
      </c>
      <c r="C142" s="76">
        <f>'6.Cons Profit &amp; Loss'!B8</f>
        <v>3888000</v>
      </c>
      <c r="D142" s="76">
        <f>'6.Cons Profit &amp; Loss'!C8</f>
        <v>4337550.0000000009</v>
      </c>
      <c r="E142" s="76">
        <f>'6.Cons Profit &amp; Loss'!D8</f>
        <v>4822335.0000000009</v>
      </c>
      <c r="F142" s="76">
        <f>'6.Cons Profit &amp; Loss'!E8</f>
        <v>5344754.6250000019</v>
      </c>
      <c r="G142" s="76">
        <f>'6.Cons Profit &amp; Loss'!F8</f>
        <v>5907360.3750000019</v>
      </c>
      <c r="H142" s="76">
        <f>'6.Cons Profit &amp; Loss'!G8</f>
        <v>6202728.3937500026</v>
      </c>
      <c r="I142" s="76">
        <f>'6.Cons Profit &amp; Loss'!H8</f>
        <v>6512864.8134375028</v>
      </c>
    </row>
    <row r="143" spans="2:9">
      <c r="B143" s="74" t="str">
        <f t="shared" si="16"/>
        <v xml:space="preserve">Faclitiy 4 - Custom Hiring </v>
      </c>
      <c r="C143" s="76">
        <f>'6.Cons Profit &amp; Loss'!B9</f>
        <v>0</v>
      </c>
      <c r="D143" s="76">
        <f>'6.Cons Profit &amp; Loss'!C9</f>
        <v>0</v>
      </c>
      <c r="E143" s="76">
        <f>'6.Cons Profit &amp; Loss'!D9</f>
        <v>0</v>
      </c>
      <c r="F143" s="76">
        <f>'6.Cons Profit &amp; Loss'!E9</f>
        <v>0</v>
      </c>
      <c r="G143" s="76">
        <f>'6.Cons Profit &amp; Loss'!F9</f>
        <v>0</v>
      </c>
      <c r="H143" s="76">
        <f>'6.Cons Profit &amp; Loss'!G9</f>
        <v>0</v>
      </c>
      <c r="I143" s="76">
        <f>'6.Cons Profit &amp; Loss'!H9</f>
        <v>0</v>
      </c>
    </row>
    <row r="144" spans="2:9">
      <c r="B144" s="74" t="str">
        <f t="shared" si="16"/>
        <v>Faclitiy 5 - Agri Input Centre</v>
      </c>
      <c r="C144" s="76">
        <f>'6.Cons Profit &amp; Loss'!B10</f>
        <v>0</v>
      </c>
      <c r="D144" s="76">
        <f>'6.Cons Profit &amp; Loss'!C10</f>
        <v>0</v>
      </c>
      <c r="E144" s="76">
        <f>'6.Cons Profit &amp; Loss'!D10</f>
        <v>0</v>
      </c>
      <c r="F144" s="76">
        <f>'6.Cons Profit &amp; Loss'!E10</f>
        <v>0</v>
      </c>
      <c r="G144" s="76">
        <f>'6.Cons Profit &amp; Loss'!F10</f>
        <v>0</v>
      </c>
      <c r="H144" s="76">
        <f>'6.Cons Profit &amp; Loss'!G10</f>
        <v>0</v>
      </c>
      <c r="I144" s="76">
        <f>'6.Cons Profit &amp; Loss'!H10</f>
        <v>0</v>
      </c>
    </row>
    <row r="145" spans="2:15">
      <c r="B145" s="74" t="str">
        <f t="shared" si="16"/>
        <v>Facility 6 - Processing Unit - Horti Commodity</v>
      </c>
      <c r="C145" s="76">
        <f>'6.Cons Profit &amp; Loss'!B11</f>
        <v>0</v>
      </c>
      <c r="D145" s="76">
        <f>'6.Cons Profit &amp; Loss'!C11</f>
        <v>0</v>
      </c>
      <c r="E145" s="76">
        <f>'6.Cons Profit &amp; Loss'!D11</f>
        <v>0</v>
      </c>
      <c r="F145" s="76">
        <f>'6.Cons Profit &amp; Loss'!E11</f>
        <v>0</v>
      </c>
      <c r="G145" s="76">
        <f>'6.Cons Profit &amp; Loss'!F11</f>
        <v>0</v>
      </c>
      <c r="H145" s="76">
        <f>'6.Cons Profit &amp; Loss'!G11</f>
        <v>0</v>
      </c>
      <c r="I145" s="76">
        <f>'6.Cons Profit &amp; Loss'!H11</f>
        <v>0</v>
      </c>
    </row>
    <row r="146" spans="2:15">
      <c r="B146" s="74">
        <f t="shared" si="16"/>
        <v>0</v>
      </c>
      <c r="C146" s="76">
        <f>'6.Cons Profit &amp; Loss'!B12</f>
        <v>0</v>
      </c>
      <c r="D146" s="76">
        <f>'6.Cons Profit &amp; Loss'!C12</f>
        <v>0</v>
      </c>
      <c r="E146" s="76">
        <f>'6.Cons Profit &amp; Loss'!D12</f>
        <v>0</v>
      </c>
      <c r="F146" s="76">
        <f>'6.Cons Profit &amp; Loss'!E12</f>
        <v>0</v>
      </c>
      <c r="G146" s="76">
        <f>'6.Cons Profit &amp; Loss'!F12</f>
        <v>0</v>
      </c>
      <c r="H146" s="76">
        <f>'6.Cons Profit &amp; Loss'!G12</f>
        <v>0</v>
      </c>
      <c r="I146" s="76">
        <f>'6.Cons Profit &amp; Loss'!H12</f>
        <v>0</v>
      </c>
    </row>
    <row r="147" spans="2:15">
      <c r="B147" s="74" t="s">
        <v>352</v>
      </c>
      <c r="C147" s="76">
        <f>SUM(C140:C146)</f>
        <v>35235207.204191998</v>
      </c>
      <c r="D147" s="76">
        <f t="shared" ref="D147:I147" si="17">SUM(D140:D146)</f>
        <v>51047216.681176811</v>
      </c>
      <c r="E147" s="76">
        <f t="shared" si="17"/>
        <v>61399229.373570688</v>
      </c>
      <c r="F147" s="76">
        <f t="shared" si="17"/>
        <v>72658825.293501049</v>
      </c>
      <c r="G147" s="76">
        <f t="shared" si="17"/>
        <v>84890882.731990501</v>
      </c>
      <c r="H147" s="76">
        <f t="shared" si="17"/>
        <v>97854362.43140763</v>
      </c>
      <c r="I147" s="76">
        <f t="shared" si="17"/>
        <v>111901962.89393654</v>
      </c>
    </row>
    <row r="148" spans="2:15">
      <c r="B148" s="74" t="s">
        <v>353</v>
      </c>
      <c r="C148" s="81"/>
      <c r="D148" s="76"/>
      <c r="E148" s="76"/>
      <c r="F148" s="76"/>
      <c r="G148" s="76"/>
      <c r="H148" s="76"/>
      <c r="I148" s="76"/>
    </row>
    <row r="149" spans="2:15">
      <c r="B149" s="74" t="s">
        <v>354</v>
      </c>
      <c r="C149" s="75">
        <f>'6.Cons Profit &amp; Loss'!B34</f>
        <v>5432800</v>
      </c>
      <c r="D149" s="75">
        <f>'6.Cons Profit &amp; Loss'!C34</f>
        <v>5704440</v>
      </c>
      <c r="E149" s="75">
        <f>'6.Cons Profit &amp; Loss'!D34</f>
        <v>5989662</v>
      </c>
      <c r="F149" s="75">
        <f>'6.Cons Profit &amp; Loss'!E34</f>
        <v>6289145.1000000015</v>
      </c>
      <c r="G149" s="75">
        <f>'6.Cons Profit &amp; Loss'!F34</f>
        <v>6603602.3550000014</v>
      </c>
      <c r="H149" s="75">
        <f>'6.Cons Profit &amp; Loss'!G34</f>
        <v>6933782.4727500025</v>
      </c>
      <c r="I149" s="75">
        <f>'6.Cons Profit &amp; Loss'!H34</f>
        <v>7280471.5963875018</v>
      </c>
    </row>
    <row r="150" spans="2:15">
      <c r="B150" s="74" t="s">
        <v>312</v>
      </c>
      <c r="C150" s="75">
        <f>'6.Cons Profit &amp; Loss'!B23*(1+$M$127)</f>
        <v>25510597.247311812</v>
      </c>
      <c r="D150" s="75">
        <f>'6.Cons Profit &amp; Loss'!C23*(1+$M$127)</f>
        <v>37486687.164945051</v>
      </c>
      <c r="E150" s="75">
        <f>'6.Cons Profit &amp; Loss'!D23*(1+$M$127)</f>
        <v>45142316.454291828</v>
      </c>
      <c r="F150" s="75">
        <f>'6.Cons Profit &amp; Loss'!E23*(1+$M$127)</f>
        <v>53469791.954660915</v>
      </c>
      <c r="G150" s="75">
        <f>'6.Cons Profit &amp; Loss'!F23*(1+$M$127)</f>
        <v>62517159.21393121</v>
      </c>
      <c r="H150" s="75">
        <f>'6.Cons Profit &amp; Loss'!G23*(1+$M$127)</f>
        <v>72335588.719241858</v>
      </c>
      <c r="I150" s="75">
        <f>'6.Cons Profit &amp; Loss'!H23*(1+$M$127)</f>
        <v>82979568.277048752</v>
      </c>
    </row>
    <row r="151" spans="2:15">
      <c r="B151" s="74" t="s">
        <v>355</v>
      </c>
      <c r="C151" s="75">
        <f t="shared" ref="C151:I151" si="18">SUM(C149:C150)</f>
        <v>30943397.247311812</v>
      </c>
      <c r="D151" s="75">
        <f t="shared" si="18"/>
        <v>43191127.164945051</v>
      </c>
      <c r="E151" s="75">
        <f t="shared" si="18"/>
        <v>51131978.454291828</v>
      </c>
      <c r="F151" s="75">
        <f t="shared" si="18"/>
        <v>59758937.054660916</v>
      </c>
      <c r="G151" s="75">
        <f t="shared" si="18"/>
        <v>69120761.568931207</v>
      </c>
      <c r="H151" s="75">
        <f t="shared" si="18"/>
        <v>79269371.191991866</v>
      </c>
      <c r="I151" s="75">
        <f t="shared" si="18"/>
        <v>90260039.873436257</v>
      </c>
    </row>
    <row r="152" spans="2:15">
      <c r="B152" s="77" t="s">
        <v>356</v>
      </c>
      <c r="C152" s="78">
        <f t="shared" ref="C152:I152" si="19">+C147-C151</f>
        <v>4291809.9568801858</v>
      </c>
      <c r="D152" s="78">
        <f t="shared" si="19"/>
        <v>7856089.5162317604</v>
      </c>
      <c r="E152" s="78">
        <f t="shared" si="19"/>
        <v>10267250.91927886</v>
      </c>
      <c r="F152" s="78">
        <f t="shared" si="19"/>
        <v>12899888.238840133</v>
      </c>
      <c r="G152" s="78">
        <f t="shared" si="19"/>
        <v>15770121.163059294</v>
      </c>
      <c r="H152" s="78">
        <f t="shared" si="19"/>
        <v>18584991.239415765</v>
      </c>
      <c r="I152" s="78">
        <f t="shared" si="19"/>
        <v>21641923.020500287</v>
      </c>
      <c r="N152" s="4"/>
      <c r="O152" s="6"/>
    </row>
    <row r="153" spans="2:15">
      <c r="B153" s="79"/>
      <c r="C153" s="80"/>
      <c r="D153" s="80"/>
      <c r="E153" s="80"/>
      <c r="F153" s="80"/>
      <c r="G153" s="80"/>
      <c r="H153" s="80"/>
      <c r="I153" s="80"/>
    </row>
    <row r="154" spans="2:15">
      <c r="B154" s="82" t="s">
        <v>358</v>
      </c>
      <c r="C154" s="83" t="s">
        <v>2</v>
      </c>
      <c r="D154" s="83" t="s">
        <v>3</v>
      </c>
      <c r="E154" s="83" t="s">
        <v>4</v>
      </c>
      <c r="F154" s="83" t="s">
        <v>5</v>
      </c>
      <c r="G154" s="83" t="s">
        <v>6</v>
      </c>
      <c r="H154" s="83" t="s">
        <v>167</v>
      </c>
      <c r="I154" s="83" t="s">
        <v>166</v>
      </c>
    </row>
    <row r="155" spans="2:15">
      <c r="B155" s="74" t="str">
        <f t="shared" ref="B155:B161" si="20">B140</f>
        <v>Faclitiy 1 - Trading Activity</v>
      </c>
      <c r="C155" s="323">
        <f>'6.Cons Profit &amp; Loss'!B6*(1-$M$126)</f>
        <v>29425486.742089201</v>
      </c>
      <c r="D155" s="323">
        <f>'6.Cons Profit &amp; Loss'!C6*(1-$M$126)</f>
        <v>43741366.33008682</v>
      </c>
      <c r="E155" s="323">
        <f>'6.Cons Profit &amp; Loss'!D6*(1-$M$126)</f>
        <v>52682018.222879857</v>
      </c>
      <c r="F155" s="323">
        <f>'6.Cons Profit &amp; Loss'!E6*(1-$M$126)</f>
        <v>62407381.889127009</v>
      </c>
      <c r="G155" s="323">
        <f>'6.Cons Profit &amp; Loss'!F6*(1-$M$126)</f>
        <v>72973576.876441672</v>
      </c>
      <c r="H155" s="323">
        <f>'6.Cons Profit &amp; Loss'!G6*(1-$M$126)</f>
        <v>84440372.907764971</v>
      </c>
      <c r="I155" s="323">
        <f>'6.Cons Profit &amp; Loss'!H6*(1-$M$126)</f>
        <v>96871414.600029528</v>
      </c>
    </row>
    <row r="156" spans="2:15">
      <c r="B156" s="74" t="str">
        <f t="shared" si="20"/>
        <v>Faclitiy 2 - Processing Unit- Cleaning, Grading</v>
      </c>
      <c r="C156" s="323">
        <f>'6.Cons Profit &amp; Loss'!B7*(1-$M$126)</f>
        <v>981304.24597704003</v>
      </c>
      <c r="D156" s="323">
        <f>'6.Cons Profit &amp; Loss'!C7*(1-$M$126)</f>
        <v>1567010.3506546861</v>
      </c>
      <c r="E156" s="323">
        <f>'6.Cons Profit &amp; Loss'!D7*(1-$M$126)</f>
        <v>2197569.3194837091</v>
      </c>
      <c r="F156" s="323">
        <f>'6.Cons Profit &amp; Loss'!E7*(1-$M$126)</f>
        <v>2887266.659318998</v>
      </c>
      <c r="G156" s="323">
        <f>'6.Cons Profit &amp; Loss'!F7*(1-$M$126)</f>
        <v>3640439.8098391062</v>
      </c>
      <c r="H156" s="323">
        <f>'6.Cons Profit &amp; Loss'!G7*(1-$M$126)</f>
        <v>4461712.1087629274</v>
      </c>
      <c r="I156" s="323">
        <f>'6.Cons Profit &amp; Loss'!H7*(1-$M$126)</f>
        <v>5356010.5380545333</v>
      </c>
    </row>
    <row r="157" spans="2:15">
      <c r="B157" s="74" t="str">
        <f t="shared" si="20"/>
        <v>Faclitiy 3 - Warehouse</v>
      </c>
      <c r="C157" s="323">
        <f>'6.Cons Profit &amp; Loss'!B8*(1-$M$126)</f>
        <v>3771360</v>
      </c>
      <c r="D157" s="323">
        <f>'6.Cons Profit &amp; Loss'!C8*(1-$M$126)</f>
        <v>4207423.5000000009</v>
      </c>
      <c r="E157" s="323">
        <f>'6.Cons Profit &amp; Loss'!D8*(1-$M$126)</f>
        <v>4677664.9500000011</v>
      </c>
      <c r="F157" s="323">
        <f>'6.Cons Profit &amp; Loss'!E8*(1-$M$126)</f>
        <v>5184411.9862500019</v>
      </c>
      <c r="G157" s="323">
        <f>'6.Cons Profit &amp; Loss'!F8*(1-$M$126)</f>
        <v>5730139.5637500016</v>
      </c>
      <c r="H157" s="323">
        <f>'6.Cons Profit &amp; Loss'!G8*(1-$M$126)</f>
        <v>6016646.5419375021</v>
      </c>
      <c r="I157" s="323">
        <f>'6.Cons Profit &amp; Loss'!H8*(1-$M$126)</f>
        <v>6317478.8690343779</v>
      </c>
    </row>
    <row r="158" spans="2:15">
      <c r="B158" s="74" t="str">
        <f t="shared" si="20"/>
        <v xml:space="preserve">Faclitiy 4 - Custom Hiring </v>
      </c>
      <c r="C158" s="323">
        <f>'6.Cons Profit &amp; Loss'!B9*(1-$M$126)</f>
        <v>0</v>
      </c>
      <c r="D158" s="323">
        <f>'6.Cons Profit &amp; Loss'!C9*(1-$M$126)</f>
        <v>0</v>
      </c>
      <c r="E158" s="323">
        <f>'6.Cons Profit &amp; Loss'!D9*(1-$M$126)</f>
        <v>0</v>
      </c>
      <c r="F158" s="323">
        <f>'6.Cons Profit &amp; Loss'!E9*(1-$M$126)</f>
        <v>0</v>
      </c>
      <c r="G158" s="323">
        <f>'6.Cons Profit &amp; Loss'!F9*(1-$M$126)</f>
        <v>0</v>
      </c>
      <c r="H158" s="323">
        <f>'6.Cons Profit &amp; Loss'!G9*(1-$M$126)</f>
        <v>0</v>
      </c>
      <c r="I158" s="323">
        <f>'6.Cons Profit &amp; Loss'!H9*(1-$M$126)</f>
        <v>0</v>
      </c>
    </row>
    <row r="159" spans="2:15">
      <c r="B159" s="74" t="str">
        <f t="shared" si="20"/>
        <v>Faclitiy 5 - Agri Input Centre</v>
      </c>
      <c r="C159" s="323">
        <f>'6.Cons Profit &amp; Loss'!B10*(1-$M$126)</f>
        <v>0</v>
      </c>
      <c r="D159" s="323">
        <f>'6.Cons Profit &amp; Loss'!C10*(1-$M$126)</f>
        <v>0</v>
      </c>
      <c r="E159" s="323">
        <f>'6.Cons Profit &amp; Loss'!D10*(1-$M$126)</f>
        <v>0</v>
      </c>
      <c r="F159" s="323">
        <f>'6.Cons Profit &amp; Loss'!E10*(1-$M$126)</f>
        <v>0</v>
      </c>
      <c r="G159" s="323">
        <f>'6.Cons Profit &amp; Loss'!F10*(1-$M$126)</f>
        <v>0</v>
      </c>
      <c r="H159" s="323">
        <f>'6.Cons Profit &amp; Loss'!G10*(1-$M$126)</f>
        <v>0</v>
      </c>
      <c r="I159" s="323">
        <f>'6.Cons Profit &amp; Loss'!H10*(1-$M$126)</f>
        <v>0</v>
      </c>
    </row>
    <row r="160" spans="2:15">
      <c r="B160" s="74" t="str">
        <f t="shared" si="20"/>
        <v>Facility 6 - Processing Unit - Horti Commodity</v>
      </c>
      <c r="C160" s="323">
        <f>'6.Cons Profit &amp; Loss'!B11*(1-$M$126)</f>
        <v>0</v>
      </c>
      <c r="D160" s="323">
        <f>'6.Cons Profit &amp; Loss'!C11*(1-$M$126)</f>
        <v>0</v>
      </c>
      <c r="E160" s="323">
        <f>'6.Cons Profit &amp; Loss'!D11*(1-$M$126)</f>
        <v>0</v>
      </c>
      <c r="F160" s="323">
        <f>'6.Cons Profit &amp; Loss'!E11*(1-$M$126)</f>
        <v>0</v>
      </c>
      <c r="G160" s="323">
        <f>'6.Cons Profit &amp; Loss'!F11*(1-$M$126)</f>
        <v>0</v>
      </c>
      <c r="H160" s="323">
        <f>'6.Cons Profit &amp; Loss'!G11*(1-$M$126)</f>
        <v>0</v>
      </c>
      <c r="I160" s="323">
        <f>'6.Cons Profit &amp; Loss'!H11*(1-$M$126)</f>
        <v>0</v>
      </c>
    </row>
    <row r="161" spans="2:9">
      <c r="B161" s="74">
        <f t="shared" si="20"/>
        <v>0</v>
      </c>
      <c r="C161" s="323">
        <f>'6.Cons Profit &amp; Loss'!B12*(1-$M$126)</f>
        <v>0</v>
      </c>
      <c r="D161" s="323">
        <f>'6.Cons Profit &amp; Loss'!C12*(1-$M$126)</f>
        <v>0</v>
      </c>
      <c r="E161" s="323">
        <f>'6.Cons Profit &amp; Loss'!D12*(1-$M$126)</f>
        <v>0</v>
      </c>
      <c r="F161" s="323">
        <f>'6.Cons Profit &amp; Loss'!E12*(1-$M$126)</f>
        <v>0</v>
      </c>
      <c r="G161" s="323">
        <f>'6.Cons Profit &amp; Loss'!F12*(1-$M$126)</f>
        <v>0</v>
      </c>
      <c r="H161" s="323">
        <f>'6.Cons Profit &amp; Loss'!G12*(1-$M$126)</f>
        <v>0</v>
      </c>
      <c r="I161" s="323">
        <f>'6.Cons Profit &amp; Loss'!H12*(1-$M$126)</f>
        <v>0</v>
      </c>
    </row>
    <row r="162" spans="2:9">
      <c r="B162" s="74" t="s">
        <v>352</v>
      </c>
      <c r="C162" s="323">
        <f>SUM(C155:C161)</f>
        <v>34178150.988066241</v>
      </c>
      <c r="D162" s="323">
        <f t="shared" ref="D162:I162" si="21">SUM(D155:D161)</f>
        <v>49515800.180741504</v>
      </c>
      <c r="E162" s="323">
        <f t="shared" si="21"/>
        <v>59557252.492363572</v>
      </c>
      <c r="F162" s="323">
        <f t="shared" si="21"/>
        <v>70479060.534696013</v>
      </c>
      <c r="G162" s="323">
        <f t="shared" si="21"/>
        <v>82344156.250030771</v>
      </c>
      <c r="H162" s="323">
        <f t="shared" si="21"/>
        <v>94918731.558465391</v>
      </c>
      <c r="I162" s="323">
        <f t="shared" si="21"/>
        <v>108544904.00711843</v>
      </c>
    </row>
    <row r="163" spans="2:9">
      <c r="B163" s="74" t="s">
        <v>353</v>
      </c>
      <c r="C163" s="323"/>
      <c r="D163" s="323"/>
      <c r="E163" s="323"/>
      <c r="F163" s="323"/>
      <c r="G163" s="323"/>
      <c r="H163" s="323"/>
      <c r="I163" s="323"/>
    </row>
    <row r="164" spans="2:9">
      <c r="B164" s="74" t="s">
        <v>354</v>
      </c>
      <c r="C164" s="323">
        <f>'6.Cons Profit &amp; Loss'!B34</f>
        <v>5432800</v>
      </c>
      <c r="D164" s="323">
        <f>'6.Cons Profit &amp; Loss'!C34</f>
        <v>5704440</v>
      </c>
      <c r="E164" s="323">
        <f>'6.Cons Profit &amp; Loss'!D34</f>
        <v>5989662</v>
      </c>
      <c r="F164" s="323">
        <f>'6.Cons Profit &amp; Loss'!E34</f>
        <v>6289145.1000000015</v>
      </c>
      <c r="G164" s="323">
        <f>'6.Cons Profit &amp; Loss'!F34</f>
        <v>6603602.3550000014</v>
      </c>
      <c r="H164" s="323">
        <f>'6.Cons Profit &amp; Loss'!G34</f>
        <v>6933782.4727500025</v>
      </c>
      <c r="I164" s="323">
        <f>'6.Cons Profit &amp; Loss'!H34</f>
        <v>7280471.5963875018</v>
      </c>
    </row>
    <row r="165" spans="2:9">
      <c r="B165" s="74" t="s">
        <v>312</v>
      </c>
      <c r="C165" s="323">
        <f>'6.Cons Profit &amp; Loss'!B23*(1-$M$126)</f>
        <v>24024543.038730543</v>
      </c>
      <c r="D165" s="323">
        <f>'6.Cons Profit &amp; Loss'!C23*(1-$M$126)</f>
        <v>35302996.650482237</v>
      </c>
      <c r="E165" s="323">
        <f>'6.Cons Profit &amp; Loss'!D23*(1-$M$126)</f>
        <v>42512666.952100076</v>
      </c>
      <c r="F165" s="323">
        <f>'6.Cons Profit &amp; Loss'!E23*(1-$M$126)</f>
        <v>50355046.792253487</v>
      </c>
      <c r="G165" s="323">
        <f>'6.Cons Profit &amp; Loss'!F23*(1-$M$126)</f>
        <v>58875382.949042015</v>
      </c>
      <c r="H165" s="323">
        <f>'6.Cons Profit &amp; Loss'!G23*(1-$M$126)</f>
        <v>68121865.104528725</v>
      </c>
      <c r="I165" s="323">
        <f>'6.Cons Profit &amp; Loss'!H23*(1-$M$126)</f>
        <v>78145807.018191531</v>
      </c>
    </row>
    <row r="166" spans="2:9">
      <c r="B166" s="74" t="s">
        <v>355</v>
      </c>
      <c r="C166" s="323">
        <f t="shared" ref="C166:I166" si="22">SUM(C164:C165)</f>
        <v>29457343.038730543</v>
      </c>
      <c r="D166" s="323">
        <f t="shared" si="22"/>
        <v>41007436.650482237</v>
      </c>
      <c r="E166" s="323">
        <f t="shared" si="22"/>
        <v>48502328.952100076</v>
      </c>
      <c r="F166" s="323">
        <f t="shared" si="22"/>
        <v>56644191.892253488</v>
      </c>
      <c r="G166" s="323">
        <f t="shared" si="22"/>
        <v>65478985.304042019</v>
      </c>
      <c r="H166" s="323">
        <f t="shared" si="22"/>
        <v>75055647.577278733</v>
      </c>
      <c r="I166" s="323">
        <f t="shared" si="22"/>
        <v>85426278.614579037</v>
      </c>
    </row>
    <row r="167" spans="2:9">
      <c r="B167" s="77" t="s">
        <v>356</v>
      </c>
      <c r="C167" s="325">
        <f t="shared" ref="C167:I167" si="23">+C162-C166</f>
        <v>4720807.949335698</v>
      </c>
      <c r="D167" s="325">
        <f t="shared" si="23"/>
        <v>8508363.5302592665</v>
      </c>
      <c r="E167" s="325">
        <f t="shared" si="23"/>
        <v>11054923.540263496</v>
      </c>
      <c r="F167" s="325">
        <f t="shared" si="23"/>
        <v>13834868.642442524</v>
      </c>
      <c r="G167" s="325">
        <f t="shared" si="23"/>
        <v>16865170.945988752</v>
      </c>
      <c r="H167" s="325">
        <f t="shared" si="23"/>
        <v>19863083.981186658</v>
      </c>
      <c r="I167" s="325">
        <f t="shared" si="23"/>
        <v>23118625.392539397</v>
      </c>
    </row>
    <row r="168" spans="2:9">
      <c r="B168" s="13"/>
      <c r="C168" s="80"/>
      <c r="D168" s="80"/>
      <c r="E168" s="80"/>
      <c r="F168" s="80"/>
      <c r="G168" s="80"/>
      <c r="H168" s="80"/>
      <c r="I168" s="80"/>
    </row>
    <row r="169" spans="2:9">
      <c r="B169" s="82" t="s">
        <v>359</v>
      </c>
      <c r="C169" s="83" t="s">
        <v>2</v>
      </c>
      <c r="D169" s="83" t="s">
        <v>3</v>
      </c>
      <c r="E169" s="83" t="s">
        <v>4</v>
      </c>
      <c r="F169" s="83" t="s">
        <v>5</v>
      </c>
      <c r="G169" s="83" t="s">
        <v>6</v>
      </c>
      <c r="H169" s="83" t="s">
        <v>167</v>
      </c>
      <c r="I169" s="83" t="s">
        <v>166</v>
      </c>
    </row>
    <row r="170" spans="2:9">
      <c r="B170" s="74" t="str">
        <f t="shared" ref="B170:B176" si="24">B155</f>
        <v>Faclitiy 1 - Trading Activity</v>
      </c>
      <c r="C170" s="76">
        <f>'6.Cons Profit &amp; Loss'!B6</f>
        <v>30335553.342360001</v>
      </c>
      <c r="D170" s="76">
        <f>'6.Cons Profit &amp; Loss'!C6</f>
        <v>45094192.092873015</v>
      </c>
      <c r="E170" s="76">
        <f>'6.Cons Profit &amp; Loss'!D6</f>
        <v>54311358.992659651</v>
      </c>
      <c r="F170" s="76">
        <f>'6.Cons Profit &amp; Loss'!E6</f>
        <v>64337507.102192797</v>
      </c>
      <c r="G170" s="76">
        <f>'6.Cons Profit &amp; Loss'!F6</f>
        <v>75230491.625197604</v>
      </c>
      <c r="H170" s="76">
        <f>'6.Cons Profit &amp; Loss'!G6</f>
        <v>87051930.8327474</v>
      </c>
      <c r="I170" s="76">
        <f>'6.Cons Profit &amp; Loss'!H6</f>
        <v>99867437.731989205</v>
      </c>
    </row>
    <row r="171" spans="2:9">
      <c r="B171" s="74" t="str">
        <f t="shared" si="24"/>
        <v>Faclitiy 2 - Processing Unit- Cleaning, Grading</v>
      </c>
      <c r="C171" s="76">
        <f>'6.Cons Profit &amp; Loss'!B7</f>
        <v>1011653.8618320001</v>
      </c>
      <c r="D171" s="76">
        <f>'6.Cons Profit &amp; Loss'!C7</f>
        <v>1615474.5883038002</v>
      </c>
      <c r="E171" s="76">
        <f>'6.Cons Profit &amp; Loss'!D7</f>
        <v>2265535.3809110401</v>
      </c>
      <c r="F171" s="76">
        <f>'6.Cons Profit &amp; Loss'!E7</f>
        <v>2976563.5663082455</v>
      </c>
      <c r="G171" s="76">
        <f>'6.Cons Profit &amp; Loss'!F7</f>
        <v>3753030.7317928933</v>
      </c>
      <c r="H171" s="76">
        <f>'6.Cons Profit &amp; Loss'!G7</f>
        <v>4599703.2049102345</v>
      </c>
      <c r="I171" s="76">
        <f>'6.Cons Profit &amp; Loss'!H7</f>
        <v>5521660.3485098286</v>
      </c>
    </row>
    <row r="172" spans="2:9">
      <c r="B172" s="74" t="str">
        <f t="shared" si="24"/>
        <v>Faclitiy 3 - Warehouse</v>
      </c>
      <c r="C172" s="76">
        <f>'6.Cons Profit &amp; Loss'!B8</f>
        <v>3888000</v>
      </c>
      <c r="D172" s="76">
        <f>'6.Cons Profit &amp; Loss'!C8</f>
        <v>4337550.0000000009</v>
      </c>
      <c r="E172" s="76">
        <f>'6.Cons Profit &amp; Loss'!D8</f>
        <v>4822335.0000000009</v>
      </c>
      <c r="F172" s="76">
        <f>'6.Cons Profit &amp; Loss'!E8</f>
        <v>5344754.6250000019</v>
      </c>
      <c r="G172" s="76">
        <f>'6.Cons Profit &amp; Loss'!F8</f>
        <v>5907360.3750000019</v>
      </c>
      <c r="H172" s="76">
        <f>'6.Cons Profit &amp; Loss'!G8</f>
        <v>6202728.3937500026</v>
      </c>
      <c r="I172" s="76">
        <f>'6.Cons Profit &amp; Loss'!H8</f>
        <v>6512864.8134375028</v>
      </c>
    </row>
    <row r="173" spans="2:9">
      <c r="B173" s="74" t="str">
        <f t="shared" si="24"/>
        <v xml:space="preserve">Faclitiy 4 - Custom Hiring </v>
      </c>
      <c r="C173" s="76">
        <f>'6.Cons Profit &amp; Loss'!B9</f>
        <v>0</v>
      </c>
      <c r="D173" s="76">
        <f>'6.Cons Profit &amp; Loss'!C9</f>
        <v>0</v>
      </c>
      <c r="E173" s="76">
        <f>'6.Cons Profit &amp; Loss'!D9</f>
        <v>0</v>
      </c>
      <c r="F173" s="76">
        <f>'6.Cons Profit &amp; Loss'!E9</f>
        <v>0</v>
      </c>
      <c r="G173" s="76">
        <f>'6.Cons Profit &amp; Loss'!F9</f>
        <v>0</v>
      </c>
      <c r="H173" s="76">
        <f>'6.Cons Profit &amp; Loss'!G9</f>
        <v>0</v>
      </c>
      <c r="I173" s="76">
        <f>'6.Cons Profit &amp; Loss'!H9</f>
        <v>0</v>
      </c>
    </row>
    <row r="174" spans="2:9">
      <c r="B174" s="74" t="str">
        <f t="shared" si="24"/>
        <v>Faclitiy 5 - Agri Input Centre</v>
      </c>
      <c r="C174" s="76">
        <f>'6.Cons Profit &amp; Loss'!B10</f>
        <v>0</v>
      </c>
      <c r="D174" s="76">
        <f>'6.Cons Profit &amp; Loss'!C10</f>
        <v>0</v>
      </c>
      <c r="E174" s="76">
        <f>'6.Cons Profit &amp; Loss'!D10</f>
        <v>0</v>
      </c>
      <c r="F174" s="76">
        <f>'6.Cons Profit &amp; Loss'!E10</f>
        <v>0</v>
      </c>
      <c r="G174" s="76">
        <f>'6.Cons Profit &amp; Loss'!F10</f>
        <v>0</v>
      </c>
      <c r="H174" s="76">
        <f>'6.Cons Profit &amp; Loss'!G10</f>
        <v>0</v>
      </c>
      <c r="I174" s="76">
        <f>'6.Cons Profit &amp; Loss'!H10</f>
        <v>0</v>
      </c>
    </row>
    <row r="175" spans="2:9">
      <c r="B175" s="74" t="str">
        <f t="shared" si="24"/>
        <v>Facility 6 - Processing Unit - Horti Commodity</v>
      </c>
      <c r="C175" s="76">
        <f>'6.Cons Profit &amp; Loss'!B11</f>
        <v>0</v>
      </c>
      <c r="D175" s="76">
        <f>'6.Cons Profit &amp; Loss'!C11</f>
        <v>0</v>
      </c>
      <c r="E175" s="76">
        <f>'6.Cons Profit &amp; Loss'!D11</f>
        <v>0</v>
      </c>
      <c r="F175" s="76">
        <f>'6.Cons Profit &amp; Loss'!E11</f>
        <v>0</v>
      </c>
      <c r="G175" s="76">
        <f>'6.Cons Profit &amp; Loss'!F11</f>
        <v>0</v>
      </c>
      <c r="H175" s="76">
        <f>'6.Cons Profit &amp; Loss'!G11</f>
        <v>0</v>
      </c>
      <c r="I175" s="76">
        <f>'6.Cons Profit &amp; Loss'!H11</f>
        <v>0</v>
      </c>
    </row>
    <row r="176" spans="2:9">
      <c r="B176" s="74">
        <f t="shared" si="24"/>
        <v>0</v>
      </c>
      <c r="C176" s="76">
        <f>'6.Cons Profit &amp; Loss'!B12</f>
        <v>0</v>
      </c>
      <c r="D176" s="76">
        <f>'6.Cons Profit &amp; Loss'!C12</f>
        <v>0</v>
      </c>
      <c r="E176" s="76">
        <f>'6.Cons Profit &amp; Loss'!D12</f>
        <v>0</v>
      </c>
      <c r="F176" s="76">
        <f>'6.Cons Profit &amp; Loss'!E12</f>
        <v>0</v>
      </c>
      <c r="G176" s="76">
        <f>'6.Cons Profit &amp; Loss'!F12</f>
        <v>0</v>
      </c>
      <c r="H176" s="76">
        <f>'6.Cons Profit &amp; Loss'!G12</f>
        <v>0</v>
      </c>
      <c r="I176" s="76">
        <f>'6.Cons Profit &amp; Loss'!H12</f>
        <v>0</v>
      </c>
    </row>
    <row r="177" spans="2:13">
      <c r="B177" s="74" t="s">
        <v>352</v>
      </c>
      <c r="C177" s="76">
        <f>SUM(C170:C176)</f>
        <v>35235207.204191998</v>
      </c>
      <c r="D177" s="76">
        <f t="shared" ref="D177:I177" si="25">SUM(D170:D176)</f>
        <v>51047216.681176811</v>
      </c>
      <c r="E177" s="76">
        <f t="shared" si="25"/>
        <v>61399229.373570688</v>
      </c>
      <c r="F177" s="76">
        <f t="shared" si="25"/>
        <v>72658825.293501049</v>
      </c>
      <c r="G177" s="76">
        <f t="shared" si="25"/>
        <v>84890882.731990501</v>
      </c>
      <c r="H177" s="76">
        <f t="shared" si="25"/>
        <v>97854362.43140763</v>
      </c>
      <c r="I177" s="76">
        <f t="shared" si="25"/>
        <v>111901962.89393654</v>
      </c>
    </row>
    <row r="178" spans="2:13">
      <c r="B178" s="74" t="s">
        <v>353</v>
      </c>
      <c r="C178" s="76"/>
      <c r="D178" s="76"/>
      <c r="E178" s="76"/>
      <c r="F178" s="76"/>
      <c r="G178" s="76"/>
      <c r="H178" s="76"/>
      <c r="I178" s="76"/>
    </row>
    <row r="179" spans="2:13">
      <c r="B179" s="74" t="s">
        <v>354</v>
      </c>
      <c r="C179" s="76">
        <f>'6.Cons Profit &amp; Loss'!B34</f>
        <v>5432800</v>
      </c>
      <c r="D179" s="76">
        <f>'6.Cons Profit &amp; Loss'!C34</f>
        <v>5704440</v>
      </c>
      <c r="E179" s="76">
        <f>'6.Cons Profit &amp; Loss'!D34</f>
        <v>5989662</v>
      </c>
      <c r="F179" s="76">
        <f>'6.Cons Profit &amp; Loss'!E34</f>
        <v>6289145.1000000015</v>
      </c>
      <c r="G179" s="76">
        <f>'6.Cons Profit &amp; Loss'!F34</f>
        <v>6603602.3550000014</v>
      </c>
      <c r="H179" s="76">
        <f>'6.Cons Profit &amp; Loss'!G34</f>
        <v>6933782.4727500025</v>
      </c>
      <c r="I179" s="76">
        <f>'6.Cons Profit &amp; Loss'!H34</f>
        <v>7280471.5963875018</v>
      </c>
    </row>
    <row r="180" spans="2:13">
      <c r="B180" s="74" t="s">
        <v>312</v>
      </c>
      <c r="C180" s="76">
        <f>'6.Cons Profit &amp; Loss'!B23*(1-$M$127)</f>
        <v>24024543.038730543</v>
      </c>
      <c r="D180" s="76">
        <f>'6.Cons Profit &amp; Loss'!C23*(1-$M$127)</f>
        <v>35302996.650482237</v>
      </c>
      <c r="E180" s="76">
        <f>'6.Cons Profit &amp; Loss'!D23*(1-$M$127)</f>
        <v>42512666.952100076</v>
      </c>
      <c r="F180" s="76">
        <f>'6.Cons Profit &amp; Loss'!E23*(1-$M$127)</f>
        <v>50355046.792253487</v>
      </c>
      <c r="G180" s="76">
        <f>'6.Cons Profit &amp; Loss'!F23*(1-$M$127)</f>
        <v>58875382.949042015</v>
      </c>
      <c r="H180" s="76">
        <f>'6.Cons Profit &amp; Loss'!G23*(1-$M$127)</f>
        <v>68121865.104528725</v>
      </c>
      <c r="I180" s="76">
        <f>'6.Cons Profit &amp; Loss'!H23*(1-$M$127)</f>
        <v>78145807.018191531</v>
      </c>
    </row>
    <row r="181" spans="2:13">
      <c r="B181" s="74" t="s">
        <v>355</v>
      </c>
      <c r="C181" s="76">
        <f t="shared" ref="C181:I181" si="26">SUM(C179:C180)</f>
        <v>29457343.038730543</v>
      </c>
      <c r="D181" s="76">
        <f t="shared" si="26"/>
        <v>41007436.650482237</v>
      </c>
      <c r="E181" s="76">
        <f t="shared" si="26"/>
        <v>48502328.952100076</v>
      </c>
      <c r="F181" s="76">
        <f t="shared" si="26"/>
        <v>56644191.892253488</v>
      </c>
      <c r="G181" s="76">
        <f t="shared" si="26"/>
        <v>65478985.304042019</v>
      </c>
      <c r="H181" s="76">
        <f t="shared" si="26"/>
        <v>75055647.577278733</v>
      </c>
      <c r="I181" s="76">
        <f t="shared" si="26"/>
        <v>85426278.614579037</v>
      </c>
    </row>
    <row r="182" spans="2:13">
      <c r="B182" s="77" t="s">
        <v>356</v>
      </c>
      <c r="C182" s="324">
        <f t="shared" ref="C182:I182" si="27">+C177-C181</f>
        <v>5777864.1654614545</v>
      </c>
      <c r="D182" s="324">
        <f t="shared" si="27"/>
        <v>10039780.030694574</v>
      </c>
      <c r="E182" s="324">
        <f t="shared" si="27"/>
        <v>12896900.421470612</v>
      </c>
      <c r="F182" s="324">
        <f t="shared" si="27"/>
        <v>16014633.401247561</v>
      </c>
      <c r="G182" s="324">
        <f t="shared" si="27"/>
        <v>19411897.427948482</v>
      </c>
      <c r="H182" s="324">
        <f t="shared" si="27"/>
        <v>22798714.854128897</v>
      </c>
      <c r="I182" s="324">
        <f t="shared" si="27"/>
        <v>26475684.279357508</v>
      </c>
    </row>
    <row r="184" spans="2:13" ht="41.1" customHeight="1">
      <c r="B184" s="457" t="s">
        <v>542</v>
      </c>
      <c r="C184" s="457"/>
      <c r="D184" s="457"/>
      <c r="E184" s="457"/>
      <c r="F184" s="457"/>
      <c r="G184" s="457"/>
      <c r="H184" s="457"/>
      <c r="I184" s="457"/>
      <c r="J184" s="331"/>
      <c r="K184" s="331"/>
      <c r="L184" s="331"/>
      <c r="M184" s="331"/>
    </row>
  </sheetData>
  <mergeCells count="20">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0866141732283472" right="0.70866141732283472" top="0.74803149606299213" bottom="0.74803149606299213" header="0.31496062992125984" footer="0.31496062992125984"/>
  <pageSetup scale="43" orientation="landscape" r:id="rId2"/>
  <rowBreaks count="2" manualBreakCount="2">
    <brk id="52" min="1" max="12" man="1"/>
    <brk id="121" min="1"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activeCell="B6" sqref="B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hidden="1" customWidth="1"/>
    <col min="11" max="26" width="0" hidden="1" customWidth="1"/>
  </cols>
  <sheetData>
    <row r="1" spans="1:26" ht="18.75">
      <c r="A1" s="414" t="s">
        <v>590</v>
      </c>
      <c r="B1" s="414"/>
      <c r="C1" s="414"/>
      <c r="D1" s="414"/>
      <c r="E1" s="414"/>
      <c r="F1" s="414"/>
      <c r="G1" s="414"/>
      <c r="H1" s="414"/>
    </row>
    <row r="2" spans="1:26">
      <c r="B2" s="4"/>
    </row>
    <row r="3" spans="1:26" ht="18.75">
      <c r="A3" s="465" t="s">
        <v>561</v>
      </c>
      <c r="B3" s="465"/>
    </row>
    <row r="4" spans="1:26">
      <c r="A4" s="277" t="s">
        <v>0</v>
      </c>
      <c r="B4" s="295" t="s">
        <v>390</v>
      </c>
      <c r="C4" s="296"/>
      <c r="D4" s="296"/>
      <c r="E4" s="296"/>
      <c r="F4" s="296"/>
      <c r="G4" s="296"/>
      <c r="H4" s="296"/>
    </row>
    <row r="5" spans="1:26">
      <c r="A5" s="10" t="s">
        <v>499</v>
      </c>
      <c r="B5" s="273">
        <v>288</v>
      </c>
      <c r="C5" s="297"/>
      <c r="D5" s="298"/>
      <c r="E5" s="298"/>
      <c r="F5" s="298"/>
      <c r="G5" s="298"/>
      <c r="H5" s="298"/>
    </row>
    <row r="6" spans="1:26">
      <c r="A6" s="10" t="s">
        <v>500</v>
      </c>
      <c r="B6" s="273">
        <v>750</v>
      </c>
      <c r="C6" s="297"/>
      <c r="D6" s="298"/>
      <c r="E6" s="298"/>
      <c r="F6" s="298"/>
      <c r="G6" s="298"/>
      <c r="H6" s="298"/>
    </row>
    <row r="7" spans="1:26">
      <c r="A7" s="2" t="s">
        <v>1</v>
      </c>
      <c r="B7" s="321">
        <f>B5+B6</f>
        <v>1038</v>
      </c>
      <c r="C7" s="299"/>
      <c r="D7" s="300"/>
      <c r="E7" s="300"/>
      <c r="F7" s="300"/>
      <c r="G7" s="300"/>
      <c r="H7" s="300"/>
    </row>
    <row r="8" spans="1:26">
      <c r="A8" s="2" t="s">
        <v>501</v>
      </c>
      <c r="B8" s="320">
        <v>2</v>
      </c>
      <c r="C8" s="299"/>
      <c r="D8" s="299"/>
      <c r="E8" s="299"/>
      <c r="F8" s="299"/>
      <c r="G8" s="299"/>
      <c r="H8" s="299"/>
    </row>
    <row r="9" spans="1:26">
      <c r="A9" s="2" t="s">
        <v>506</v>
      </c>
      <c r="B9" s="321">
        <f>B7*B8</f>
        <v>2076</v>
      </c>
      <c r="C9" s="300"/>
      <c r="D9" s="300"/>
      <c r="E9" s="300"/>
      <c r="F9" s="300"/>
      <c r="G9" s="300"/>
      <c r="H9" s="300"/>
    </row>
    <row r="10" spans="1:26">
      <c r="J10" t="s">
        <v>460</v>
      </c>
      <c r="O10" t="s">
        <v>456</v>
      </c>
      <c r="U10" t="s">
        <v>457</v>
      </c>
      <c r="Y10" t="s">
        <v>458</v>
      </c>
      <c r="Z10" t="s">
        <v>459</v>
      </c>
    </row>
    <row r="11" spans="1:26" ht="18.75">
      <c r="A11" s="414" t="s">
        <v>562</v>
      </c>
      <c r="B11" s="414"/>
      <c r="C11" s="414"/>
      <c r="D11" s="414"/>
      <c r="E11" s="414"/>
      <c r="F11" s="414"/>
      <c r="G11" s="414"/>
      <c r="H11" s="414"/>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5" t="s">
        <v>394</v>
      </c>
      <c r="B13" s="295" t="s">
        <v>395</v>
      </c>
      <c r="C13" s="392" t="s">
        <v>453</v>
      </c>
      <c r="D13" s="392" t="s">
        <v>461</v>
      </c>
      <c r="E13" s="392" t="s">
        <v>462</v>
      </c>
      <c r="F13" s="392" t="s">
        <v>396</v>
      </c>
      <c r="G13" s="392" t="s">
        <v>634</v>
      </c>
      <c r="H13" s="392" t="s">
        <v>397</v>
      </c>
      <c r="O13" s="290" t="s">
        <v>2</v>
      </c>
      <c r="P13" s="290" t="s">
        <v>3</v>
      </c>
      <c r="Q13" s="290" t="s">
        <v>4</v>
      </c>
      <c r="R13" s="290" t="s">
        <v>5</v>
      </c>
      <c r="S13" s="290" t="s">
        <v>6</v>
      </c>
      <c r="T13" s="290" t="s">
        <v>2</v>
      </c>
      <c r="U13" s="290" t="s">
        <v>3</v>
      </c>
      <c r="V13" s="290" t="s">
        <v>4</v>
      </c>
      <c r="W13" s="290" t="s">
        <v>5</v>
      </c>
      <c r="X13" s="290" t="s">
        <v>6</v>
      </c>
    </row>
    <row r="14" spans="1:26">
      <c r="A14" s="469" t="s">
        <v>398</v>
      </c>
      <c r="B14" s="273" t="s">
        <v>165</v>
      </c>
      <c r="C14" s="288">
        <v>0.4</v>
      </c>
      <c r="D14" s="10">
        <f t="shared" ref="D14:D22" si="3">$B$9*C14</f>
        <v>830.40000000000009</v>
      </c>
      <c r="E14" s="274">
        <v>10</v>
      </c>
      <c r="F14" s="10">
        <f>D14*E14</f>
        <v>8304</v>
      </c>
      <c r="G14" s="289">
        <v>0.01</v>
      </c>
      <c r="H14" s="10">
        <f>(F14-F14*G14)</f>
        <v>8220.9599999999991</v>
      </c>
      <c r="J14">
        <f>$D$14*J12</f>
        <v>539.7600000000001</v>
      </c>
      <c r="K14">
        <f>$D$14*K12</f>
        <v>581.28000000000009</v>
      </c>
      <c r="L14">
        <f>$D$14*L12</f>
        <v>622.80000000000018</v>
      </c>
      <c r="M14">
        <f>$D$14*M12</f>
        <v>664.32000000000016</v>
      </c>
      <c r="N14">
        <f>$D$14*N12</f>
        <v>705.84000000000026</v>
      </c>
    </row>
    <row r="15" spans="1:26">
      <c r="A15" s="470"/>
      <c r="B15" s="273" t="s">
        <v>680</v>
      </c>
      <c r="C15" s="288">
        <v>0.05</v>
      </c>
      <c r="D15" s="10">
        <f t="shared" si="3"/>
        <v>103.80000000000001</v>
      </c>
      <c r="E15" s="274">
        <v>10</v>
      </c>
      <c r="F15" s="10">
        <f t="shared" ref="F15:F36" si="4">D15*E15</f>
        <v>1038</v>
      </c>
      <c r="G15" s="289">
        <v>0.05</v>
      </c>
      <c r="H15" s="10">
        <f>(F15-F15*G15)</f>
        <v>986.1</v>
      </c>
    </row>
    <row r="16" spans="1:26">
      <c r="A16" s="470"/>
      <c r="B16" s="273" t="s">
        <v>678</v>
      </c>
      <c r="C16" s="288">
        <v>0.4</v>
      </c>
      <c r="D16" s="10">
        <f t="shared" si="3"/>
        <v>830.40000000000009</v>
      </c>
      <c r="E16" s="274">
        <v>17</v>
      </c>
      <c r="F16" s="10">
        <f t="shared" si="4"/>
        <v>14116.800000000001</v>
      </c>
      <c r="G16" s="289">
        <v>0.01</v>
      </c>
      <c r="H16" s="10">
        <f t="shared" ref="H16:H36" si="5">(F16-F16*G16)</f>
        <v>13975.632000000001</v>
      </c>
    </row>
    <row r="17" spans="1:8">
      <c r="A17" s="470"/>
      <c r="B17" s="273" t="s">
        <v>684</v>
      </c>
      <c r="C17" s="288">
        <v>0.05</v>
      </c>
      <c r="D17" s="10">
        <f t="shared" si="3"/>
        <v>103.80000000000001</v>
      </c>
      <c r="E17" s="274">
        <v>7</v>
      </c>
      <c r="F17" s="10">
        <f t="shared" si="4"/>
        <v>726.60000000000014</v>
      </c>
      <c r="G17" s="289">
        <v>0.01</v>
      </c>
      <c r="H17" s="10">
        <f t="shared" si="5"/>
        <v>719.33400000000017</v>
      </c>
    </row>
    <row r="18" spans="1:8">
      <c r="A18" s="470"/>
      <c r="B18" s="273" t="s">
        <v>399</v>
      </c>
      <c r="C18" s="288">
        <v>0</v>
      </c>
      <c r="D18" s="10">
        <f t="shared" si="3"/>
        <v>0</v>
      </c>
      <c r="E18" s="274">
        <v>0</v>
      </c>
      <c r="F18" s="10">
        <f t="shared" si="4"/>
        <v>0</v>
      </c>
      <c r="G18" s="289">
        <v>0</v>
      </c>
      <c r="H18" s="10">
        <f t="shared" si="5"/>
        <v>0</v>
      </c>
    </row>
    <row r="19" spans="1:8">
      <c r="A19" s="470"/>
      <c r="B19" s="273" t="s">
        <v>683</v>
      </c>
      <c r="C19" s="288">
        <v>0.05</v>
      </c>
      <c r="D19" s="10">
        <f t="shared" si="3"/>
        <v>103.80000000000001</v>
      </c>
      <c r="E19" s="274">
        <v>8</v>
      </c>
      <c r="F19" s="10">
        <f t="shared" si="4"/>
        <v>830.40000000000009</v>
      </c>
      <c r="G19" s="289">
        <v>0.01</v>
      </c>
      <c r="H19" s="10">
        <f t="shared" si="5"/>
        <v>822.09600000000012</v>
      </c>
    </row>
    <row r="20" spans="1:8">
      <c r="A20" s="470"/>
      <c r="B20" s="273" t="s">
        <v>476</v>
      </c>
      <c r="C20" s="288">
        <v>0</v>
      </c>
      <c r="D20" s="10">
        <f t="shared" si="3"/>
        <v>0</v>
      </c>
      <c r="E20" s="274">
        <v>0</v>
      </c>
      <c r="F20" s="10">
        <f t="shared" si="4"/>
        <v>0</v>
      </c>
      <c r="G20" s="289">
        <v>0</v>
      </c>
      <c r="H20" s="10">
        <f t="shared" si="5"/>
        <v>0</v>
      </c>
    </row>
    <row r="21" spans="1:8">
      <c r="A21" s="470"/>
      <c r="B21" s="273" t="s">
        <v>402</v>
      </c>
      <c r="C21" s="288">
        <v>0.05</v>
      </c>
      <c r="D21" s="10">
        <f t="shared" si="3"/>
        <v>103.80000000000001</v>
      </c>
      <c r="E21" s="274">
        <v>10</v>
      </c>
      <c r="F21" s="10">
        <f t="shared" si="4"/>
        <v>1038</v>
      </c>
      <c r="G21" s="289">
        <v>0.03</v>
      </c>
      <c r="H21" s="10">
        <f t="shared" si="5"/>
        <v>1006.86</v>
      </c>
    </row>
    <row r="22" spans="1:8">
      <c r="A22" s="471"/>
      <c r="B22" s="273" t="s">
        <v>679</v>
      </c>
      <c r="C22" s="288">
        <v>0</v>
      </c>
      <c r="D22" s="10">
        <f t="shared" si="3"/>
        <v>0</v>
      </c>
      <c r="E22" s="274">
        <v>0</v>
      </c>
      <c r="F22" s="10">
        <f t="shared" si="4"/>
        <v>0</v>
      </c>
      <c r="G22" s="289">
        <v>0</v>
      </c>
      <c r="H22" s="10">
        <f t="shared" si="5"/>
        <v>0</v>
      </c>
    </row>
    <row r="23" spans="1:8">
      <c r="A23" s="303" t="s">
        <v>484</v>
      </c>
      <c r="B23" s="313">
        <v>0.6</v>
      </c>
      <c r="C23" s="315">
        <f>B9*B23</f>
        <v>1245.5999999999999</v>
      </c>
      <c r="D23" s="10"/>
      <c r="E23" s="274"/>
      <c r="F23" s="10"/>
      <c r="G23" s="289"/>
      <c r="H23" s="10"/>
    </row>
    <row r="24" spans="1:8">
      <c r="A24" s="469" t="s">
        <v>400</v>
      </c>
      <c r="B24" s="273" t="s">
        <v>401</v>
      </c>
      <c r="C24" s="288">
        <v>0.15</v>
      </c>
      <c r="D24" s="10">
        <f>C$23*C24</f>
        <v>186.83999999999997</v>
      </c>
      <c r="E24" s="274">
        <v>15</v>
      </c>
      <c r="F24" s="10">
        <f t="shared" si="4"/>
        <v>2802.5999999999995</v>
      </c>
      <c r="G24" s="289">
        <v>0.05</v>
      </c>
      <c r="H24" s="10">
        <f t="shared" si="5"/>
        <v>2662.4699999999993</v>
      </c>
    </row>
    <row r="25" spans="1:8">
      <c r="A25" s="470"/>
      <c r="B25" s="273" t="s">
        <v>679</v>
      </c>
      <c r="C25" s="288">
        <v>0.7</v>
      </c>
      <c r="D25" s="10">
        <f>C$23*C25</f>
        <v>871.91999999999985</v>
      </c>
      <c r="E25" s="274">
        <v>10</v>
      </c>
      <c r="F25" s="10">
        <f t="shared" si="4"/>
        <v>8719.1999999999989</v>
      </c>
      <c r="G25" s="289">
        <v>0.05</v>
      </c>
      <c r="H25" s="10">
        <f t="shared" si="5"/>
        <v>8283.24</v>
      </c>
    </row>
    <row r="26" spans="1:8">
      <c r="A26" s="470"/>
      <c r="B26" s="273" t="s">
        <v>402</v>
      </c>
      <c r="C26" s="288">
        <v>0.1</v>
      </c>
      <c r="D26" s="10">
        <f>C$23*C26</f>
        <v>124.56</v>
      </c>
      <c r="E26" s="274">
        <v>8</v>
      </c>
      <c r="F26" s="10">
        <f t="shared" si="4"/>
        <v>996.48</v>
      </c>
      <c r="G26" s="289">
        <v>0.03</v>
      </c>
      <c r="H26" s="10">
        <f t="shared" si="5"/>
        <v>966.5856</v>
      </c>
    </row>
    <row r="27" spans="1:8">
      <c r="A27" s="470"/>
      <c r="B27" s="273" t="s">
        <v>399</v>
      </c>
      <c r="C27" s="288">
        <v>0</v>
      </c>
      <c r="D27" s="10">
        <f t="shared" ref="D27:D31" si="6">C$23*C27</f>
        <v>0</v>
      </c>
      <c r="E27" s="274">
        <v>0</v>
      </c>
      <c r="F27" s="10">
        <f t="shared" si="4"/>
        <v>0</v>
      </c>
      <c r="G27" s="289">
        <v>0</v>
      </c>
      <c r="H27" s="10">
        <f t="shared" si="5"/>
        <v>0</v>
      </c>
    </row>
    <row r="28" spans="1:8">
      <c r="A28" s="470"/>
      <c r="B28" s="273" t="s">
        <v>482</v>
      </c>
      <c r="C28" s="288">
        <v>0</v>
      </c>
      <c r="D28" s="10">
        <f t="shared" si="6"/>
        <v>0</v>
      </c>
      <c r="E28" s="274"/>
      <c r="F28" s="10">
        <f t="shared" si="4"/>
        <v>0</v>
      </c>
      <c r="G28" s="289">
        <v>0</v>
      </c>
      <c r="H28" s="10">
        <f t="shared" si="5"/>
        <v>0</v>
      </c>
    </row>
    <row r="29" spans="1:8">
      <c r="A29" s="470"/>
      <c r="B29" s="273" t="s">
        <v>698</v>
      </c>
      <c r="C29" s="288">
        <v>0.05</v>
      </c>
      <c r="D29" s="10">
        <f t="shared" si="6"/>
        <v>62.28</v>
      </c>
      <c r="E29" s="274">
        <v>5</v>
      </c>
      <c r="F29" s="10">
        <f t="shared" si="4"/>
        <v>311.39999999999998</v>
      </c>
      <c r="G29" s="289">
        <v>0.01</v>
      </c>
      <c r="H29" s="10">
        <f t="shared" si="5"/>
        <v>308.286</v>
      </c>
    </row>
    <row r="30" spans="1:8">
      <c r="A30" s="470"/>
      <c r="B30" s="273"/>
      <c r="C30" s="288">
        <v>0</v>
      </c>
      <c r="D30" s="10">
        <f t="shared" si="6"/>
        <v>0</v>
      </c>
      <c r="E30" s="274"/>
      <c r="F30" s="10">
        <f t="shared" si="4"/>
        <v>0</v>
      </c>
      <c r="G30" s="289">
        <v>0</v>
      </c>
      <c r="H30" s="10">
        <f t="shared" si="5"/>
        <v>0</v>
      </c>
    </row>
    <row r="31" spans="1:8">
      <c r="A31" s="471"/>
      <c r="B31" s="273"/>
      <c r="C31" s="288">
        <v>0</v>
      </c>
      <c r="D31" s="10">
        <f t="shared" si="6"/>
        <v>0</v>
      </c>
      <c r="E31" s="274"/>
      <c r="F31" s="10">
        <f t="shared" si="4"/>
        <v>0</v>
      </c>
      <c r="G31" s="289">
        <v>0</v>
      </c>
      <c r="H31" s="10">
        <f t="shared" si="5"/>
        <v>0</v>
      </c>
    </row>
    <row r="32" spans="1:8">
      <c r="A32" s="303" t="s">
        <v>483</v>
      </c>
      <c r="B32" s="313">
        <v>0.1</v>
      </c>
      <c r="C32" s="282">
        <f>B9*B32</f>
        <v>207.60000000000002</v>
      </c>
      <c r="D32" s="10"/>
      <c r="E32" s="274"/>
      <c r="F32" s="10"/>
      <c r="G32" s="289"/>
      <c r="H32" s="10"/>
    </row>
    <row r="33" spans="1:8">
      <c r="A33" s="316" t="s">
        <v>467</v>
      </c>
      <c r="B33" s="273" t="s">
        <v>165</v>
      </c>
      <c r="C33" s="288">
        <v>0.05</v>
      </c>
      <c r="D33" s="10">
        <f>C$32*C33</f>
        <v>10.380000000000003</v>
      </c>
      <c r="E33" s="274">
        <v>7</v>
      </c>
      <c r="F33" s="10">
        <f t="shared" si="4"/>
        <v>72.660000000000025</v>
      </c>
      <c r="G33" s="289">
        <v>0.01</v>
      </c>
      <c r="H33" s="10">
        <f t="shared" si="5"/>
        <v>71.93340000000002</v>
      </c>
    </row>
    <row r="34" spans="1:8">
      <c r="A34" s="317"/>
      <c r="B34" s="273"/>
      <c r="C34" s="288">
        <v>0</v>
      </c>
      <c r="D34" s="10">
        <f>C$32*C34</f>
        <v>0</v>
      </c>
      <c r="E34" s="274"/>
      <c r="F34" s="10">
        <f t="shared" si="4"/>
        <v>0</v>
      </c>
      <c r="G34" s="289">
        <v>0.01</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68" t="s">
        <v>403</v>
      </c>
      <c r="B37" s="468"/>
      <c r="C37" s="468"/>
      <c r="D37" s="468"/>
      <c r="E37" s="468"/>
      <c r="F37" s="468"/>
      <c r="G37" s="468"/>
      <c r="H37" s="468"/>
    </row>
    <row r="39" spans="1:8" ht="18.75">
      <c r="A39" s="472" t="s">
        <v>563</v>
      </c>
      <c r="B39" s="473"/>
      <c r="C39" s="473"/>
      <c r="D39" s="473"/>
      <c r="E39" s="473"/>
      <c r="F39" s="473"/>
      <c r="G39" s="473"/>
      <c r="H39" s="474"/>
    </row>
    <row r="40" spans="1:8">
      <c r="A40" s="475" t="s">
        <v>0</v>
      </c>
      <c r="B40" s="304">
        <v>0.3</v>
      </c>
      <c r="C40" s="304">
        <f>B40+0.05</f>
        <v>0.35</v>
      </c>
      <c r="D40" s="304">
        <f t="shared" ref="D40:G40" si="7">C40+0.05</f>
        <v>0.39999999999999997</v>
      </c>
      <c r="E40" s="304">
        <f t="shared" si="7"/>
        <v>0.44999999999999996</v>
      </c>
      <c r="F40" s="304">
        <f t="shared" si="7"/>
        <v>0.49999999999999994</v>
      </c>
      <c r="G40" s="304">
        <f t="shared" si="7"/>
        <v>0.54999999999999993</v>
      </c>
      <c r="H40" s="304">
        <f>G40+0.05</f>
        <v>0.6</v>
      </c>
    </row>
    <row r="41" spans="1:8">
      <c r="A41" s="476"/>
      <c r="B41" s="295" t="s">
        <v>2</v>
      </c>
      <c r="C41" s="295" t="s">
        <v>3</v>
      </c>
      <c r="D41" s="295" t="s">
        <v>4</v>
      </c>
      <c r="E41" s="295" t="s">
        <v>5</v>
      </c>
      <c r="F41" s="295" t="s">
        <v>6</v>
      </c>
      <c r="G41" s="295" t="s">
        <v>167</v>
      </c>
      <c r="H41" s="295" t="s">
        <v>166</v>
      </c>
    </row>
    <row r="42" spans="1:8">
      <c r="A42" s="10" t="str">
        <f t="shared" ref="A42:A50" si="8">B14</f>
        <v>Soybean</v>
      </c>
      <c r="B42" s="10">
        <f t="shared" ref="B42:B50" si="9">H14*$B$40</f>
        <v>2466.2879999999996</v>
      </c>
      <c r="C42" s="10">
        <f t="shared" ref="C42:H51" si="10">(B42/B$40)*C$40</f>
        <v>2877.3359999999993</v>
      </c>
      <c r="D42" s="10">
        <f t="shared" si="10"/>
        <v>3288.3839999999996</v>
      </c>
      <c r="E42" s="10">
        <f t="shared" si="10"/>
        <v>3699.4319999999993</v>
      </c>
      <c r="F42" s="10">
        <f t="shared" si="10"/>
        <v>4110.4799999999987</v>
      </c>
      <c r="G42" s="10">
        <f t="shared" si="10"/>
        <v>4521.5279999999993</v>
      </c>
      <c r="H42" s="10">
        <f t="shared" si="10"/>
        <v>4932.5759999999991</v>
      </c>
    </row>
    <row r="43" spans="1:8">
      <c r="A43" s="10" t="str">
        <f t="shared" si="8"/>
        <v>Tur</v>
      </c>
      <c r="B43" s="10">
        <f t="shared" si="9"/>
        <v>295.83</v>
      </c>
      <c r="C43" s="10">
        <f t="shared" si="10"/>
        <v>345.13499999999999</v>
      </c>
      <c r="D43" s="10">
        <f t="shared" si="10"/>
        <v>394.44</v>
      </c>
      <c r="E43" s="10">
        <f t="shared" si="10"/>
        <v>443.74499999999995</v>
      </c>
      <c r="F43" s="10">
        <f t="shared" si="10"/>
        <v>493.04999999999995</v>
      </c>
      <c r="G43" s="10">
        <f t="shared" si="10"/>
        <v>542.3549999999999</v>
      </c>
      <c r="H43" s="10">
        <f t="shared" si="10"/>
        <v>591.66</v>
      </c>
    </row>
    <row r="44" spans="1:8">
      <c r="A44" s="10" t="str">
        <f t="shared" si="8"/>
        <v>Turmeric</v>
      </c>
      <c r="B44" s="10">
        <f t="shared" si="9"/>
        <v>4192.6896000000006</v>
      </c>
      <c r="C44" s="10">
        <f t="shared" si="10"/>
        <v>4891.4712000000009</v>
      </c>
      <c r="D44" s="10">
        <f t="shared" si="10"/>
        <v>5590.2528000000011</v>
      </c>
      <c r="E44" s="10">
        <f t="shared" si="10"/>
        <v>6289.0344000000005</v>
      </c>
      <c r="F44" s="10">
        <f t="shared" si="10"/>
        <v>6987.8160000000007</v>
      </c>
      <c r="G44" s="10">
        <f t="shared" si="10"/>
        <v>7686.597600000001</v>
      </c>
      <c r="H44" s="10">
        <f t="shared" si="10"/>
        <v>8385.3792000000012</v>
      </c>
    </row>
    <row r="45" spans="1:8">
      <c r="A45" s="10" t="str">
        <f t="shared" si="8"/>
        <v>Moong</v>
      </c>
      <c r="B45" s="10">
        <f t="shared" si="9"/>
        <v>215.80020000000005</v>
      </c>
      <c r="C45" s="10">
        <f t="shared" si="10"/>
        <v>251.76690000000005</v>
      </c>
      <c r="D45" s="10">
        <f t="shared" si="10"/>
        <v>287.73360000000002</v>
      </c>
      <c r="E45" s="10">
        <f t="shared" si="10"/>
        <v>323.70030000000003</v>
      </c>
      <c r="F45" s="10">
        <f t="shared" si="10"/>
        <v>359.66700000000003</v>
      </c>
      <c r="G45" s="10">
        <f t="shared" si="10"/>
        <v>395.63370000000003</v>
      </c>
      <c r="H45" s="10">
        <f t="shared" si="10"/>
        <v>431.60040000000009</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Udid</v>
      </c>
      <c r="B47" s="10">
        <f t="shared" si="9"/>
        <v>246.62880000000001</v>
      </c>
      <c r="C47" s="10">
        <f t="shared" si="10"/>
        <v>287.73360000000002</v>
      </c>
      <c r="D47" s="10">
        <f t="shared" si="10"/>
        <v>328.83840000000004</v>
      </c>
      <c r="E47" s="10">
        <f t="shared" si="10"/>
        <v>369.94319999999999</v>
      </c>
      <c r="F47" s="10">
        <f t="shared" si="10"/>
        <v>411.04799999999994</v>
      </c>
      <c r="G47" s="10">
        <f t="shared" si="10"/>
        <v>452.15279999999996</v>
      </c>
      <c r="H47" s="10">
        <f t="shared" si="10"/>
        <v>493.25759999999997</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302.05799999999999</v>
      </c>
      <c r="C49" s="10">
        <f t="shared" si="10"/>
        <v>352.40100000000001</v>
      </c>
      <c r="D49" s="10">
        <f t="shared" si="10"/>
        <v>402.74400000000003</v>
      </c>
      <c r="E49" s="10">
        <f t="shared" si="10"/>
        <v>453.08699999999999</v>
      </c>
      <c r="F49" s="10">
        <f t="shared" si="10"/>
        <v>503.43</v>
      </c>
      <c r="G49" s="10">
        <f t="shared" si="10"/>
        <v>553.77300000000002</v>
      </c>
      <c r="H49" s="10">
        <f t="shared" si="10"/>
        <v>604.1160000000001</v>
      </c>
    </row>
    <row r="50" spans="1:8">
      <c r="A50" s="10" t="str">
        <f t="shared" si="8"/>
        <v>Channa</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798.74099999999976</v>
      </c>
      <c r="C51" s="10">
        <f t="shared" si="10"/>
        <v>931.86449999999968</v>
      </c>
      <c r="D51" s="10">
        <f t="shared" si="10"/>
        <v>1064.9879999999996</v>
      </c>
      <c r="E51" s="10">
        <f t="shared" si="10"/>
        <v>1198.1114999999995</v>
      </c>
      <c r="F51" s="10">
        <f t="shared" si="10"/>
        <v>1331.2349999999994</v>
      </c>
      <c r="G51" s="10">
        <f t="shared" si="10"/>
        <v>1464.3584999999994</v>
      </c>
      <c r="H51" s="10">
        <f t="shared" si="10"/>
        <v>1597.4819999999995</v>
      </c>
    </row>
    <row r="52" spans="1:8">
      <c r="A52" s="10" t="str">
        <f t="shared" si="11"/>
        <v>Channa</v>
      </c>
      <c r="B52" s="10">
        <f t="shared" si="12"/>
        <v>2484.9719999999998</v>
      </c>
      <c r="C52" s="10">
        <f t="shared" ref="C52:H61" si="13">(B52/B$40)*C$40</f>
        <v>2899.1339999999996</v>
      </c>
      <c r="D52" s="10">
        <f t="shared" si="13"/>
        <v>3313.2959999999998</v>
      </c>
      <c r="E52" s="10">
        <f t="shared" si="13"/>
        <v>3727.4579999999996</v>
      </c>
      <c r="F52" s="10">
        <f t="shared" si="13"/>
        <v>4141.619999999999</v>
      </c>
      <c r="G52" s="10">
        <f t="shared" si="13"/>
        <v>4555.7819999999992</v>
      </c>
      <c r="H52" s="10">
        <f t="shared" si="13"/>
        <v>4969.9439999999995</v>
      </c>
    </row>
    <row r="53" spans="1:8">
      <c r="A53" s="10" t="str">
        <f t="shared" si="11"/>
        <v>Jawar</v>
      </c>
      <c r="B53" s="10">
        <f t="shared" si="12"/>
        <v>289.97568000000001</v>
      </c>
      <c r="C53" s="10">
        <f t="shared" si="13"/>
        <v>338.30495999999999</v>
      </c>
      <c r="D53" s="10">
        <f t="shared" si="13"/>
        <v>386.63423999999998</v>
      </c>
      <c r="E53" s="10">
        <f t="shared" si="13"/>
        <v>434.96351999999996</v>
      </c>
      <c r="F53" s="10">
        <f t="shared" si="13"/>
        <v>483.29279999999994</v>
      </c>
      <c r="G53" s="10">
        <f t="shared" si="13"/>
        <v>531.62207999999998</v>
      </c>
      <c r="H53" s="10">
        <f t="shared" si="13"/>
        <v>579.95136000000002</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t="str">
        <f t="shared" si="11"/>
        <v>Groundnut</v>
      </c>
      <c r="B56" s="10">
        <f t="shared" si="12"/>
        <v>92.485799999999998</v>
      </c>
      <c r="C56" s="10">
        <f t="shared" si="13"/>
        <v>107.90009999999999</v>
      </c>
      <c r="D56" s="10">
        <f t="shared" si="13"/>
        <v>123.31439999999999</v>
      </c>
      <c r="E56" s="10">
        <f t="shared" si="13"/>
        <v>138.72869999999998</v>
      </c>
      <c r="F56" s="10">
        <f t="shared" si="13"/>
        <v>154.14299999999997</v>
      </c>
      <c r="G56" s="10">
        <f t="shared" si="13"/>
        <v>169.55729999999997</v>
      </c>
      <c r="H56" s="10">
        <f t="shared" si="13"/>
        <v>184.9716</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Soybean</v>
      </c>
      <c r="B59" s="10">
        <f>H33*$B$40</f>
        <v>21.580020000000005</v>
      </c>
      <c r="C59" s="10">
        <f t="shared" si="13"/>
        <v>25.176690000000004</v>
      </c>
      <c r="D59" s="10">
        <f t="shared" si="13"/>
        <v>28.773360000000007</v>
      </c>
      <c r="E59" s="10">
        <f t="shared" si="13"/>
        <v>32.370030000000007</v>
      </c>
      <c r="F59" s="10">
        <f t="shared" si="13"/>
        <v>35.966700000000003</v>
      </c>
      <c r="G59" s="10">
        <f t="shared" si="13"/>
        <v>39.563370000000006</v>
      </c>
      <c r="H59" s="10">
        <f t="shared" si="13"/>
        <v>43.160040000000009</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477" t="s">
        <v>564</v>
      </c>
      <c r="B64" s="478"/>
      <c r="C64" s="478"/>
      <c r="D64" s="478"/>
      <c r="E64" s="478"/>
      <c r="F64" s="478"/>
      <c r="G64" s="478"/>
      <c r="H64" s="479"/>
    </row>
    <row r="65" spans="1:8">
      <c r="A65" s="480" t="s">
        <v>0</v>
      </c>
      <c r="B65" s="305">
        <v>0.1</v>
      </c>
      <c r="C65" s="305">
        <f>B65+0.05</f>
        <v>0.15000000000000002</v>
      </c>
      <c r="D65" s="305">
        <f t="shared" ref="D65:G65" si="15">C65+0.05</f>
        <v>0.2</v>
      </c>
      <c r="E65" s="305">
        <f t="shared" si="15"/>
        <v>0.25</v>
      </c>
      <c r="F65" s="305">
        <f t="shared" si="15"/>
        <v>0.3</v>
      </c>
      <c r="G65" s="305">
        <f t="shared" si="15"/>
        <v>0.35</v>
      </c>
      <c r="H65" s="305">
        <f>G65+0.05</f>
        <v>0.39999999999999997</v>
      </c>
    </row>
    <row r="66" spans="1:8">
      <c r="A66" s="481"/>
      <c r="B66" s="295" t="s">
        <v>2</v>
      </c>
      <c r="C66" s="295" t="s">
        <v>3</v>
      </c>
      <c r="D66" s="295" t="s">
        <v>4</v>
      </c>
      <c r="E66" s="295" t="s">
        <v>5</v>
      </c>
      <c r="F66" s="295" t="s">
        <v>6</v>
      </c>
      <c r="G66" s="295" t="s">
        <v>167</v>
      </c>
      <c r="H66" s="295" t="s">
        <v>166</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Tur</v>
      </c>
      <c r="B68" s="10">
        <f t="shared" ref="B68:B75" si="18">H15*$B$65</f>
        <v>98.610000000000014</v>
      </c>
      <c r="C68" s="10">
        <f>(B68/B$65)*C$65</f>
        <v>147.91500000000005</v>
      </c>
      <c r="D68" s="10">
        <f t="shared" si="17"/>
        <v>197.22000000000003</v>
      </c>
      <c r="E68" s="10">
        <f t="shared" si="17"/>
        <v>246.52500000000003</v>
      </c>
      <c r="F68" s="10">
        <f t="shared" si="17"/>
        <v>295.83000000000004</v>
      </c>
      <c r="G68" s="10">
        <f t="shared" si="17"/>
        <v>345.13500000000005</v>
      </c>
      <c r="H68" s="10">
        <f t="shared" si="17"/>
        <v>394.44000000000005</v>
      </c>
    </row>
    <row r="69" spans="1:8">
      <c r="A69" s="10" t="str">
        <f t="shared" si="16"/>
        <v>Turmeric</v>
      </c>
      <c r="B69" s="10">
        <f t="shared" si="18"/>
        <v>1397.5632000000003</v>
      </c>
      <c r="C69" s="10">
        <f t="shared" ref="C69:H69" si="19">(B69/B$65)*C$65</f>
        <v>2096.3448000000003</v>
      </c>
      <c r="D69" s="10">
        <f t="shared" si="19"/>
        <v>2795.1264000000001</v>
      </c>
      <c r="E69" s="10">
        <f t="shared" si="19"/>
        <v>3493.9079999999999</v>
      </c>
      <c r="F69" s="10">
        <f t="shared" si="19"/>
        <v>4192.6895999999997</v>
      </c>
      <c r="G69" s="10">
        <f t="shared" si="19"/>
        <v>4891.4712</v>
      </c>
      <c r="H69" s="10">
        <f t="shared" si="19"/>
        <v>5590.2528000000002</v>
      </c>
    </row>
    <row r="70" spans="1:8">
      <c r="A70" s="10" t="str">
        <f t="shared" si="16"/>
        <v>Moong</v>
      </c>
      <c r="B70" s="10">
        <f t="shared" si="18"/>
        <v>71.93340000000002</v>
      </c>
      <c r="C70" s="10">
        <f t="shared" ref="C70:H70" si="20">(B70/B$65)*C$65</f>
        <v>107.90010000000004</v>
      </c>
      <c r="D70" s="10">
        <f t="shared" si="20"/>
        <v>143.86680000000004</v>
      </c>
      <c r="E70" s="10">
        <f t="shared" si="20"/>
        <v>179.83350000000004</v>
      </c>
      <c r="F70" s="10">
        <f t="shared" si="20"/>
        <v>215.80020000000005</v>
      </c>
      <c r="G70" s="10">
        <f t="shared" si="20"/>
        <v>251.76690000000005</v>
      </c>
      <c r="H70" s="10">
        <f t="shared" si="20"/>
        <v>287.73360000000002</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Udid</v>
      </c>
      <c r="B72" s="10">
        <f t="shared" si="18"/>
        <v>82.209600000000023</v>
      </c>
      <c r="C72" s="10">
        <f t="shared" ref="C72:H72" si="22">(B72/B$65)*C$65</f>
        <v>123.31440000000005</v>
      </c>
      <c r="D72" s="10">
        <f t="shared" si="22"/>
        <v>164.41920000000005</v>
      </c>
      <c r="E72" s="10">
        <f t="shared" si="22"/>
        <v>205.52400000000006</v>
      </c>
      <c r="F72" s="10">
        <f t="shared" si="22"/>
        <v>246.62880000000007</v>
      </c>
      <c r="G72" s="10">
        <f t="shared" si="22"/>
        <v>287.73360000000008</v>
      </c>
      <c r="H72" s="10">
        <f t="shared" si="22"/>
        <v>328.83840000000009</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100.68600000000001</v>
      </c>
      <c r="C74" s="10">
        <f t="shared" ref="C74:H74" si="24">(B74/B$65)*C$65</f>
        <v>151.02900000000002</v>
      </c>
      <c r="D74" s="10">
        <f t="shared" si="24"/>
        <v>201.37200000000001</v>
      </c>
      <c r="E74" s="10">
        <f t="shared" si="24"/>
        <v>251.715</v>
      </c>
      <c r="F74" s="10">
        <f t="shared" si="24"/>
        <v>302.05799999999999</v>
      </c>
      <c r="G74" s="10">
        <f t="shared" si="24"/>
        <v>352.40100000000001</v>
      </c>
      <c r="H74" s="10">
        <f t="shared" si="24"/>
        <v>402.74400000000003</v>
      </c>
    </row>
    <row r="75" spans="1:8">
      <c r="A75" s="10" t="str">
        <f t="shared" si="16"/>
        <v>Channa</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266.24699999999996</v>
      </c>
      <c r="C76" s="10">
        <f t="shared" ref="C76:H76" si="27">(B76/B$65)*C$65</f>
        <v>399.37049999999994</v>
      </c>
      <c r="D76" s="10">
        <f t="shared" si="27"/>
        <v>532.49399999999991</v>
      </c>
      <c r="E76" s="10">
        <f t="shared" si="27"/>
        <v>665.61749999999984</v>
      </c>
      <c r="F76" s="10">
        <f t="shared" si="27"/>
        <v>798.74099999999976</v>
      </c>
      <c r="G76" s="10">
        <f t="shared" si="27"/>
        <v>931.86449999999968</v>
      </c>
      <c r="H76" s="10">
        <f t="shared" si="27"/>
        <v>1064.9879999999996</v>
      </c>
    </row>
    <row r="77" spans="1:8">
      <c r="A77" s="10" t="str">
        <f t="shared" si="16"/>
        <v>Channa</v>
      </c>
      <c r="B77" s="10">
        <f t="shared" si="26"/>
        <v>828.32400000000007</v>
      </c>
      <c r="C77" s="10">
        <f t="shared" ref="C77:H77" si="28">(B77/B$65)*C$65</f>
        <v>1242.4860000000001</v>
      </c>
      <c r="D77" s="10">
        <f t="shared" si="28"/>
        <v>1656.6480000000001</v>
      </c>
      <c r="E77" s="10">
        <f t="shared" si="28"/>
        <v>2070.81</v>
      </c>
      <c r="F77" s="10">
        <f t="shared" si="28"/>
        <v>2484.9719999999998</v>
      </c>
      <c r="G77" s="10">
        <f t="shared" si="28"/>
        <v>2899.1339999999996</v>
      </c>
      <c r="H77" s="10">
        <f t="shared" si="28"/>
        <v>3313.2959999999998</v>
      </c>
    </row>
    <row r="78" spans="1:8">
      <c r="A78" s="10" t="str">
        <f t="shared" si="16"/>
        <v>Jawar</v>
      </c>
      <c r="B78" s="10">
        <f t="shared" si="26"/>
        <v>96.658560000000008</v>
      </c>
      <c r="C78" s="10">
        <f t="shared" ref="C78:H78" si="29">(B78/B$65)*C$65</f>
        <v>144.98784000000003</v>
      </c>
      <c r="D78" s="10">
        <f t="shared" si="29"/>
        <v>193.31712000000005</v>
      </c>
      <c r="E78" s="10">
        <f t="shared" si="29"/>
        <v>241.64640000000006</v>
      </c>
      <c r="F78" s="10">
        <f t="shared" si="29"/>
        <v>289.97568000000007</v>
      </c>
      <c r="G78" s="10">
        <f t="shared" si="29"/>
        <v>338.30496000000005</v>
      </c>
      <c r="H78" s="10">
        <f t="shared" si="29"/>
        <v>386.63424000000003</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t="str">
        <f t="shared" si="16"/>
        <v>Groundnut</v>
      </c>
      <c r="B81" s="10">
        <f t="shared" si="26"/>
        <v>30.828600000000002</v>
      </c>
      <c r="C81" s="10">
        <f t="shared" ref="C81:H81" si="32">(B81/B$65)*C$65</f>
        <v>46.242900000000006</v>
      </c>
      <c r="D81" s="10">
        <f t="shared" si="32"/>
        <v>61.657200000000003</v>
      </c>
      <c r="E81" s="10">
        <f t="shared" si="32"/>
        <v>77.0715</v>
      </c>
      <c r="F81" s="10">
        <f t="shared" si="32"/>
        <v>92.485799999999998</v>
      </c>
      <c r="G81" s="10">
        <f t="shared" si="32"/>
        <v>107.90009999999999</v>
      </c>
      <c r="H81" s="10">
        <f t="shared" si="32"/>
        <v>123.31439999999999</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Soybean</v>
      </c>
      <c r="B84" s="10">
        <f>H33*$B$65</f>
        <v>7.1933400000000027</v>
      </c>
      <c r="C84" s="10">
        <f t="shared" ref="C84:H84" si="35">(B84/B$65)*C$65</f>
        <v>10.790010000000004</v>
      </c>
      <c r="D84" s="10">
        <f t="shared" si="35"/>
        <v>14.386680000000005</v>
      </c>
      <c r="E84" s="10">
        <f t="shared" si="35"/>
        <v>17.983350000000005</v>
      </c>
      <c r="F84" s="10">
        <f t="shared" si="35"/>
        <v>21.580020000000005</v>
      </c>
      <c r="G84" s="10">
        <f t="shared" si="35"/>
        <v>25.176690000000004</v>
      </c>
      <c r="H84" s="10">
        <f t="shared" si="35"/>
        <v>28.773360000000007</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83"/>
      <c r="C88" s="283"/>
      <c r="D88" s="283"/>
      <c r="E88" s="283"/>
      <c r="F88" s="283"/>
      <c r="G88" s="283"/>
      <c r="H88" s="283"/>
      <c r="I88" s="283"/>
    </row>
    <row r="89" spans="1:9">
      <c r="A89" s="482" t="s">
        <v>565</v>
      </c>
      <c r="B89" s="483"/>
      <c r="C89" s="483"/>
      <c r="D89" s="483"/>
      <c r="E89" s="483"/>
      <c r="F89" s="483"/>
      <c r="G89" s="483"/>
      <c r="H89" s="484"/>
    </row>
    <row r="90" spans="1:9">
      <c r="A90" s="466" t="s">
        <v>0</v>
      </c>
      <c r="B90" s="329">
        <v>0.65</v>
      </c>
      <c r="C90" s="330">
        <f>B90+0.05</f>
        <v>0.70000000000000007</v>
      </c>
      <c r="D90" s="330">
        <f t="shared" ref="D90:G90" si="39">C90+0.05</f>
        <v>0.75000000000000011</v>
      </c>
      <c r="E90" s="330">
        <f t="shared" si="39"/>
        <v>0.80000000000000016</v>
      </c>
      <c r="F90" s="330">
        <f t="shared" si="39"/>
        <v>0.8500000000000002</v>
      </c>
      <c r="G90" s="330">
        <f t="shared" si="39"/>
        <v>0.90000000000000024</v>
      </c>
      <c r="H90" s="330">
        <f>G90+0.05</f>
        <v>0.95000000000000029</v>
      </c>
    </row>
    <row r="91" spans="1:9">
      <c r="A91" s="467"/>
      <c r="B91" s="295" t="s">
        <v>2</v>
      </c>
      <c r="C91" s="295" t="s">
        <v>3</v>
      </c>
      <c r="D91" s="295" t="s">
        <v>4</v>
      </c>
      <c r="E91" s="295" t="s">
        <v>5</v>
      </c>
      <c r="F91" s="295" t="s">
        <v>6</v>
      </c>
      <c r="G91" s="295" t="s">
        <v>167</v>
      </c>
      <c r="H91" s="295" t="s">
        <v>166</v>
      </c>
    </row>
    <row r="92" spans="1:9" s="13" customFormat="1">
      <c r="A92" s="10" t="str">
        <f t="shared" ref="A92:A112" si="40">A67</f>
        <v>Soybean</v>
      </c>
      <c r="B92" s="10">
        <f t="shared" ref="B92:B100" si="41">D14*$B$90</f>
        <v>539.7600000000001</v>
      </c>
      <c r="C92" s="292">
        <f t="shared" ref="C92:H92" si="42">(B92/B$90)*C$90</f>
        <v>581.28000000000009</v>
      </c>
      <c r="D92" s="292">
        <f t="shared" si="42"/>
        <v>622.80000000000018</v>
      </c>
      <c r="E92" s="292">
        <f t="shared" si="42"/>
        <v>664.32000000000016</v>
      </c>
      <c r="F92" s="292">
        <f t="shared" si="42"/>
        <v>705.84000000000026</v>
      </c>
      <c r="G92" s="292">
        <f t="shared" si="42"/>
        <v>747.36000000000024</v>
      </c>
      <c r="H92" s="292">
        <f t="shared" si="42"/>
        <v>788.88000000000034</v>
      </c>
    </row>
    <row r="93" spans="1:9">
      <c r="A93" s="10" t="str">
        <f t="shared" si="40"/>
        <v>Tur</v>
      </c>
      <c r="B93" s="10">
        <f t="shared" si="41"/>
        <v>67.470000000000013</v>
      </c>
      <c r="C93" s="292">
        <f t="shared" ref="C93:C113" si="43">(B93/B$90)*C$90</f>
        <v>72.660000000000011</v>
      </c>
      <c r="D93" s="292">
        <f>(C93/C90)*D90</f>
        <v>77.850000000000023</v>
      </c>
      <c r="E93" s="292">
        <f t="shared" ref="E93:G93" si="44">(D93/D90)*E90</f>
        <v>83.04000000000002</v>
      </c>
      <c r="F93" s="292">
        <f t="shared" si="44"/>
        <v>88.230000000000032</v>
      </c>
      <c r="G93" s="292">
        <f t="shared" si="44"/>
        <v>93.42000000000003</v>
      </c>
      <c r="H93" s="292">
        <f>(G93/G90)*H90</f>
        <v>98.610000000000042</v>
      </c>
    </row>
    <row r="94" spans="1:9">
      <c r="A94" s="10" t="str">
        <f t="shared" si="40"/>
        <v>Turmeric</v>
      </c>
      <c r="B94" s="10">
        <f t="shared" si="41"/>
        <v>539.7600000000001</v>
      </c>
      <c r="C94" s="292">
        <f t="shared" si="43"/>
        <v>581.28000000000009</v>
      </c>
      <c r="D94" s="292">
        <f t="shared" ref="D94:H103" si="45">(C94/C$90)*D$90</f>
        <v>622.80000000000018</v>
      </c>
      <c r="E94" s="292">
        <f t="shared" si="45"/>
        <v>664.32000000000016</v>
      </c>
      <c r="F94" s="292">
        <f t="shared" si="45"/>
        <v>705.84000000000026</v>
      </c>
      <c r="G94" s="292">
        <f t="shared" si="45"/>
        <v>747.36000000000024</v>
      </c>
      <c r="H94" s="292">
        <f t="shared" si="45"/>
        <v>788.88000000000034</v>
      </c>
    </row>
    <row r="95" spans="1:9">
      <c r="A95" s="10" t="str">
        <f t="shared" si="40"/>
        <v>Moong</v>
      </c>
      <c r="B95" s="10">
        <f t="shared" si="41"/>
        <v>67.470000000000013</v>
      </c>
      <c r="C95" s="292">
        <f t="shared" si="43"/>
        <v>72.660000000000011</v>
      </c>
      <c r="D95" s="292">
        <f t="shared" si="45"/>
        <v>77.850000000000023</v>
      </c>
      <c r="E95" s="292">
        <f t="shared" si="45"/>
        <v>83.04000000000002</v>
      </c>
      <c r="F95" s="292">
        <f t="shared" si="45"/>
        <v>88.230000000000032</v>
      </c>
      <c r="G95" s="292">
        <f t="shared" si="45"/>
        <v>93.42000000000003</v>
      </c>
      <c r="H95" s="292">
        <f t="shared" si="45"/>
        <v>98.610000000000042</v>
      </c>
    </row>
    <row r="96" spans="1:9">
      <c r="A96" s="10" t="str">
        <f t="shared" si="40"/>
        <v>Maize</v>
      </c>
      <c r="B96" s="292">
        <f t="shared" si="41"/>
        <v>0</v>
      </c>
      <c r="C96" s="292">
        <f t="shared" si="43"/>
        <v>0</v>
      </c>
      <c r="D96" s="292">
        <f t="shared" si="45"/>
        <v>0</v>
      </c>
      <c r="E96" s="292">
        <f t="shared" si="45"/>
        <v>0</v>
      </c>
      <c r="F96" s="292">
        <f t="shared" si="45"/>
        <v>0</v>
      </c>
      <c r="G96" s="292">
        <f t="shared" si="45"/>
        <v>0</v>
      </c>
      <c r="H96" s="292">
        <f t="shared" si="45"/>
        <v>0</v>
      </c>
    </row>
    <row r="97" spans="1:8">
      <c r="A97" s="10" t="str">
        <f t="shared" si="40"/>
        <v>Udid</v>
      </c>
      <c r="B97" s="10">
        <f t="shared" si="41"/>
        <v>67.470000000000013</v>
      </c>
      <c r="C97" s="292">
        <f t="shared" si="43"/>
        <v>72.660000000000011</v>
      </c>
      <c r="D97" s="292">
        <f t="shared" si="45"/>
        <v>77.850000000000023</v>
      </c>
      <c r="E97" s="292">
        <f t="shared" si="45"/>
        <v>83.04000000000002</v>
      </c>
      <c r="F97" s="292">
        <f t="shared" si="45"/>
        <v>88.230000000000032</v>
      </c>
      <c r="G97" s="292">
        <f t="shared" si="45"/>
        <v>93.42000000000003</v>
      </c>
      <c r="H97" s="292">
        <f t="shared" si="45"/>
        <v>98.610000000000042</v>
      </c>
    </row>
    <row r="98" spans="1:8">
      <c r="A98" s="10" t="str">
        <f t="shared" si="40"/>
        <v>Bajra</v>
      </c>
      <c r="B98" s="10">
        <f t="shared" si="41"/>
        <v>0</v>
      </c>
      <c r="C98" s="292">
        <f t="shared" si="43"/>
        <v>0</v>
      </c>
      <c r="D98" s="292">
        <f t="shared" si="45"/>
        <v>0</v>
      </c>
      <c r="E98" s="292">
        <f t="shared" si="45"/>
        <v>0</v>
      </c>
      <c r="F98" s="292">
        <f t="shared" si="45"/>
        <v>0</v>
      </c>
      <c r="G98" s="292">
        <f t="shared" si="45"/>
        <v>0</v>
      </c>
      <c r="H98" s="292">
        <f t="shared" si="45"/>
        <v>0</v>
      </c>
    </row>
    <row r="99" spans="1:8">
      <c r="A99" s="10" t="str">
        <f t="shared" si="40"/>
        <v>Jawar</v>
      </c>
      <c r="B99" s="10">
        <f t="shared" si="41"/>
        <v>67.470000000000013</v>
      </c>
      <c r="C99" s="292">
        <f t="shared" si="43"/>
        <v>72.660000000000011</v>
      </c>
      <c r="D99" s="292">
        <f t="shared" si="45"/>
        <v>77.850000000000023</v>
      </c>
      <c r="E99" s="292">
        <f t="shared" si="45"/>
        <v>83.04000000000002</v>
      </c>
      <c r="F99" s="292">
        <f t="shared" si="45"/>
        <v>88.230000000000032</v>
      </c>
      <c r="G99" s="292">
        <f t="shared" si="45"/>
        <v>93.42000000000003</v>
      </c>
      <c r="H99" s="292">
        <f t="shared" si="45"/>
        <v>98.610000000000042</v>
      </c>
    </row>
    <row r="100" spans="1:8">
      <c r="A100" s="10" t="str">
        <f t="shared" si="40"/>
        <v>Channa</v>
      </c>
      <c r="B100" s="10">
        <f t="shared" si="41"/>
        <v>0</v>
      </c>
      <c r="C100" s="292">
        <f t="shared" si="43"/>
        <v>0</v>
      </c>
      <c r="D100" s="292">
        <f t="shared" si="45"/>
        <v>0</v>
      </c>
      <c r="E100" s="292">
        <f t="shared" si="45"/>
        <v>0</v>
      </c>
      <c r="F100" s="292">
        <f t="shared" si="45"/>
        <v>0</v>
      </c>
      <c r="G100" s="292">
        <f t="shared" si="45"/>
        <v>0</v>
      </c>
      <c r="H100" s="292">
        <f t="shared" si="45"/>
        <v>0</v>
      </c>
    </row>
    <row r="101" spans="1:8">
      <c r="A101" s="10" t="str">
        <f t="shared" si="40"/>
        <v>Wheat</v>
      </c>
      <c r="B101" s="10">
        <f t="shared" ref="B101:B108" si="46">D24*$B$90</f>
        <v>121.44599999999998</v>
      </c>
      <c r="C101" s="292">
        <f t="shared" si="43"/>
        <v>130.78799999999998</v>
      </c>
      <c r="D101" s="292">
        <f t="shared" si="45"/>
        <v>140.12999999999997</v>
      </c>
      <c r="E101" s="292">
        <f t="shared" si="45"/>
        <v>149.47199999999995</v>
      </c>
      <c r="F101" s="292">
        <f t="shared" si="45"/>
        <v>158.81399999999994</v>
      </c>
      <c r="G101" s="292">
        <f t="shared" si="45"/>
        <v>168.15599999999995</v>
      </c>
      <c r="H101" s="292">
        <f t="shared" si="45"/>
        <v>177.49799999999996</v>
      </c>
    </row>
    <row r="102" spans="1:8">
      <c r="A102" s="10" t="str">
        <f t="shared" si="40"/>
        <v>Channa</v>
      </c>
      <c r="B102" s="10">
        <f t="shared" si="46"/>
        <v>566.74799999999993</v>
      </c>
      <c r="C102" s="292">
        <f t="shared" si="43"/>
        <v>610.34399999999994</v>
      </c>
      <c r="D102" s="292">
        <f t="shared" si="45"/>
        <v>653.93999999999994</v>
      </c>
      <c r="E102" s="292">
        <f t="shared" si="45"/>
        <v>697.53600000000006</v>
      </c>
      <c r="F102" s="292">
        <f t="shared" si="45"/>
        <v>741.13200000000018</v>
      </c>
      <c r="G102" s="292">
        <f t="shared" si="45"/>
        <v>784.72800000000018</v>
      </c>
      <c r="H102" s="292">
        <f t="shared" si="45"/>
        <v>828.32400000000018</v>
      </c>
    </row>
    <row r="103" spans="1:8">
      <c r="A103" s="10" t="str">
        <f t="shared" si="40"/>
        <v>Jawar</v>
      </c>
      <c r="B103" s="10">
        <f t="shared" si="46"/>
        <v>80.963999999999999</v>
      </c>
      <c r="C103" s="292">
        <f t="shared" si="43"/>
        <v>87.191999999999993</v>
      </c>
      <c r="D103" s="292">
        <f t="shared" si="45"/>
        <v>93.419999999999987</v>
      </c>
      <c r="E103" s="292">
        <f t="shared" si="45"/>
        <v>99.647999999999982</v>
      </c>
      <c r="F103" s="292">
        <f t="shared" si="45"/>
        <v>105.87599999999999</v>
      </c>
      <c r="G103" s="292">
        <f t="shared" si="45"/>
        <v>112.104</v>
      </c>
      <c r="H103" s="292">
        <f t="shared" si="45"/>
        <v>118.33199999999999</v>
      </c>
    </row>
    <row r="104" spans="1:8">
      <c r="A104" s="10" t="str">
        <f t="shared" si="40"/>
        <v>Maize</v>
      </c>
      <c r="B104" s="10">
        <f t="shared" si="46"/>
        <v>0</v>
      </c>
      <c r="C104" s="292">
        <f t="shared" si="43"/>
        <v>0</v>
      </c>
      <c r="D104" s="292">
        <f t="shared" ref="D104:H113" si="47">(C104/C$90)*D$90</f>
        <v>0</v>
      </c>
      <c r="E104" s="292">
        <f t="shared" si="47"/>
        <v>0</v>
      </c>
      <c r="F104" s="292">
        <f t="shared" si="47"/>
        <v>0</v>
      </c>
      <c r="G104" s="292">
        <f t="shared" si="47"/>
        <v>0</v>
      </c>
      <c r="H104" s="292">
        <f t="shared" si="47"/>
        <v>0</v>
      </c>
    </row>
    <row r="105" spans="1:8">
      <c r="A105" s="10" t="str">
        <f t="shared" si="40"/>
        <v>Safflower</v>
      </c>
      <c r="B105" s="10">
        <f t="shared" si="46"/>
        <v>0</v>
      </c>
      <c r="C105" s="292">
        <f t="shared" si="43"/>
        <v>0</v>
      </c>
      <c r="D105" s="292">
        <f t="shared" si="47"/>
        <v>0</v>
      </c>
      <c r="E105" s="292">
        <f t="shared" si="47"/>
        <v>0</v>
      </c>
      <c r="F105" s="292">
        <f t="shared" si="47"/>
        <v>0</v>
      </c>
      <c r="G105" s="292">
        <f t="shared" si="47"/>
        <v>0</v>
      </c>
      <c r="H105" s="292">
        <f t="shared" si="47"/>
        <v>0</v>
      </c>
    </row>
    <row r="106" spans="1:8">
      <c r="A106" s="10" t="str">
        <f t="shared" si="40"/>
        <v>Groundnut</v>
      </c>
      <c r="B106" s="10">
        <f t="shared" si="46"/>
        <v>40.481999999999999</v>
      </c>
      <c r="C106" s="292">
        <f t="shared" si="43"/>
        <v>43.595999999999997</v>
      </c>
      <c r="D106" s="292">
        <f t="shared" si="47"/>
        <v>46.709999999999994</v>
      </c>
      <c r="E106" s="292">
        <f t="shared" si="47"/>
        <v>49.823999999999991</v>
      </c>
      <c r="F106" s="292">
        <f t="shared" si="47"/>
        <v>52.937999999999995</v>
      </c>
      <c r="G106" s="292">
        <f t="shared" si="47"/>
        <v>56.052</v>
      </c>
      <c r="H106" s="292">
        <f t="shared" si="47"/>
        <v>59.165999999999997</v>
      </c>
    </row>
    <row r="107" spans="1:8">
      <c r="A107" s="10">
        <f t="shared" si="40"/>
        <v>0</v>
      </c>
      <c r="B107" s="10">
        <f t="shared" si="46"/>
        <v>0</v>
      </c>
      <c r="C107" s="292">
        <f t="shared" si="43"/>
        <v>0</v>
      </c>
      <c r="D107" s="292">
        <f t="shared" si="47"/>
        <v>0</v>
      </c>
      <c r="E107" s="292">
        <f t="shared" si="47"/>
        <v>0</v>
      </c>
      <c r="F107" s="292">
        <f t="shared" si="47"/>
        <v>0</v>
      </c>
      <c r="G107" s="292">
        <f t="shared" si="47"/>
        <v>0</v>
      </c>
      <c r="H107" s="292">
        <f t="shared" si="47"/>
        <v>0</v>
      </c>
    </row>
    <row r="108" spans="1:8">
      <c r="A108" s="10">
        <f t="shared" si="40"/>
        <v>0</v>
      </c>
      <c r="B108" s="10">
        <f t="shared" si="46"/>
        <v>0</v>
      </c>
      <c r="C108" s="292">
        <f t="shared" si="43"/>
        <v>0</v>
      </c>
      <c r="D108" s="292">
        <f t="shared" si="47"/>
        <v>0</v>
      </c>
      <c r="E108" s="292">
        <f t="shared" si="47"/>
        <v>0</v>
      </c>
      <c r="F108" s="292">
        <f t="shared" si="47"/>
        <v>0</v>
      </c>
      <c r="G108" s="292">
        <f t="shared" si="47"/>
        <v>0</v>
      </c>
      <c r="H108" s="292">
        <f t="shared" si="47"/>
        <v>0</v>
      </c>
    </row>
    <row r="109" spans="1:8">
      <c r="A109" s="10" t="str">
        <f t="shared" si="40"/>
        <v>Soybean</v>
      </c>
      <c r="B109" s="10">
        <f>D33*$B$90</f>
        <v>6.7470000000000017</v>
      </c>
      <c r="C109" s="292">
        <f t="shared" si="43"/>
        <v>7.2660000000000027</v>
      </c>
      <c r="D109" s="292">
        <f t="shared" si="47"/>
        <v>7.7850000000000028</v>
      </c>
      <c r="E109" s="292">
        <f t="shared" si="47"/>
        <v>8.3040000000000038</v>
      </c>
      <c r="F109" s="292">
        <f t="shared" si="47"/>
        <v>8.823000000000004</v>
      </c>
      <c r="G109" s="292">
        <f t="shared" si="47"/>
        <v>9.3420000000000041</v>
      </c>
      <c r="H109" s="292">
        <f t="shared" si="47"/>
        <v>9.861000000000006</v>
      </c>
    </row>
    <row r="110" spans="1:8">
      <c r="A110" s="10">
        <f t="shared" si="40"/>
        <v>0</v>
      </c>
      <c r="B110" s="10">
        <f>D34*$B$90</f>
        <v>0</v>
      </c>
      <c r="C110" s="292">
        <f t="shared" si="43"/>
        <v>0</v>
      </c>
      <c r="D110" s="292">
        <f t="shared" si="47"/>
        <v>0</v>
      </c>
      <c r="E110" s="292">
        <f t="shared" si="47"/>
        <v>0</v>
      </c>
      <c r="F110" s="292">
        <f t="shared" si="47"/>
        <v>0</v>
      </c>
      <c r="G110" s="292">
        <f t="shared" si="47"/>
        <v>0</v>
      </c>
      <c r="H110" s="292">
        <f t="shared" si="47"/>
        <v>0</v>
      </c>
    </row>
    <row r="111" spans="1:8">
      <c r="A111" s="10">
        <f t="shared" si="40"/>
        <v>0</v>
      </c>
      <c r="B111" s="10">
        <f>D34*$B$90</f>
        <v>0</v>
      </c>
      <c r="C111" s="292">
        <f t="shared" si="43"/>
        <v>0</v>
      </c>
      <c r="D111" s="292">
        <f t="shared" si="47"/>
        <v>0</v>
      </c>
      <c r="E111" s="292">
        <f t="shared" si="47"/>
        <v>0</v>
      </c>
      <c r="F111" s="292">
        <f t="shared" si="47"/>
        <v>0</v>
      </c>
      <c r="G111" s="292">
        <f t="shared" si="47"/>
        <v>0</v>
      </c>
      <c r="H111" s="292">
        <f t="shared" si="47"/>
        <v>0</v>
      </c>
    </row>
    <row r="112" spans="1:8">
      <c r="A112" s="10">
        <f t="shared" si="40"/>
        <v>0</v>
      </c>
      <c r="B112" s="10">
        <f>D36*$B$90</f>
        <v>0</v>
      </c>
      <c r="C112" s="292">
        <f t="shared" si="43"/>
        <v>0</v>
      </c>
      <c r="D112" s="292">
        <f t="shared" si="47"/>
        <v>0</v>
      </c>
      <c r="E112" s="292">
        <f t="shared" si="47"/>
        <v>0</v>
      </c>
      <c r="F112" s="292">
        <f t="shared" si="47"/>
        <v>0</v>
      </c>
      <c r="G112" s="292">
        <f t="shared" si="47"/>
        <v>0</v>
      </c>
      <c r="H112" s="292">
        <f t="shared" si="47"/>
        <v>0</v>
      </c>
    </row>
    <row r="113" spans="1:9">
      <c r="A113" s="10"/>
      <c r="B113" s="10">
        <f>D37*$B$90</f>
        <v>0</v>
      </c>
      <c r="C113" s="292">
        <f t="shared" si="43"/>
        <v>0</v>
      </c>
      <c r="D113" s="292">
        <f t="shared" si="47"/>
        <v>0</v>
      </c>
      <c r="E113" s="292">
        <f t="shared" si="47"/>
        <v>0</v>
      </c>
      <c r="F113" s="292">
        <f t="shared" si="47"/>
        <v>0</v>
      </c>
      <c r="G113" s="292">
        <f t="shared" si="47"/>
        <v>0</v>
      </c>
      <c r="H113" s="292">
        <f t="shared" si="47"/>
        <v>0</v>
      </c>
    </row>
    <row r="115" spans="1:9">
      <c r="C115" s="4"/>
      <c r="D115" s="6"/>
      <c r="E115" s="6"/>
      <c r="F115" s="6"/>
      <c r="G115" s="6"/>
      <c r="H115" s="6"/>
      <c r="I115" s="6"/>
    </row>
    <row r="116" spans="1:9">
      <c r="A116" t="s">
        <v>543</v>
      </c>
      <c r="C116" s="293"/>
      <c r="D116" s="293"/>
      <c r="E116" s="293"/>
      <c r="F116" s="293"/>
      <c r="G116" s="293"/>
      <c r="H116" s="293"/>
      <c r="I116" s="293"/>
    </row>
    <row r="117" spans="1:9">
      <c r="A117">
        <v>1</v>
      </c>
      <c r="B117" t="s">
        <v>586</v>
      </c>
    </row>
    <row r="118" spans="1:9">
      <c r="A118">
        <v>2</v>
      </c>
      <c r="B118" t="s">
        <v>587</v>
      </c>
    </row>
    <row r="119" spans="1:9">
      <c r="A119">
        <v>3</v>
      </c>
      <c r="B119" t="s">
        <v>546</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0866141732283472" right="0.70866141732283472" top="0.74803149606299213" bottom="0.74803149606299213" header="0.31496062992125984" footer="0.31496062992125984"/>
  <pageSetup paperSize="9" scale="65" orientation="landscape" r:id="rId1"/>
  <rowBreaks count="1" manualBreakCount="1">
    <brk id="38" max="2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zoomScale="80" zoomScaleSheetLayoutView="8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14" t="s">
        <v>502</v>
      </c>
      <c r="B1" s="414"/>
      <c r="C1" s="414"/>
      <c r="D1" s="414"/>
      <c r="E1" s="414"/>
      <c r="F1" s="414"/>
      <c r="G1" s="414"/>
      <c r="H1" s="414"/>
    </row>
    <row r="2" spans="1:26">
      <c r="B2" s="4"/>
    </row>
    <row r="3" spans="1:26" ht="18.75">
      <c r="A3" s="465" t="s">
        <v>566</v>
      </c>
      <c r="B3" s="465"/>
    </row>
    <row r="4" spans="1:26">
      <c r="A4" s="277" t="s">
        <v>0</v>
      </c>
      <c r="B4" s="295" t="s">
        <v>390</v>
      </c>
      <c r="C4" s="296"/>
      <c r="D4" s="296"/>
      <c r="E4" s="296"/>
      <c r="F4" s="296"/>
      <c r="G4" s="296"/>
      <c r="H4" s="296"/>
    </row>
    <row r="5" spans="1:26">
      <c r="A5" s="10" t="s">
        <v>495</v>
      </c>
      <c r="B5" s="273">
        <v>0</v>
      </c>
      <c r="C5" s="297"/>
      <c r="D5" s="298"/>
      <c r="E5" s="298"/>
      <c r="F5" s="298"/>
      <c r="G5" s="298"/>
      <c r="H5" s="298"/>
    </row>
    <row r="6" spans="1:26">
      <c r="A6" s="10" t="s">
        <v>496</v>
      </c>
      <c r="B6" s="273">
        <v>0</v>
      </c>
      <c r="C6" s="297"/>
      <c r="D6" s="298"/>
      <c r="E6" s="298"/>
      <c r="F6" s="298"/>
      <c r="G6" s="298"/>
      <c r="H6" s="298"/>
    </row>
    <row r="7" spans="1:26">
      <c r="A7" s="2" t="s">
        <v>1</v>
      </c>
      <c r="B7" s="321">
        <f>B5+B6</f>
        <v>0</v>
      </c>
      <c r="C7" s="299"/>
      <c r="D7" s="300"/>
      <c r="E7" s="300"/>
      <c r="F7" s="300"/>
      <c r="G7" s="300"/>
      <c r="H7" s="300"/>
    </row>
    <row r="8" spans="1:26">
      <c r="A8" s="2" t="s">
        <v>497</v>
      </c>
      <c r="B8" s="320">
        <v>0</v>
      </c>
      <c r="C8" s="299"/>
      <c r="D8" s="299"/>
      <c r="E8" s="299"/>
      <c r="F8" s="299"/>
      <c r="G8" s="299"/>
      <c r="H8" s="299"/>
    </row>
    <row r="9" spans="1:26">
      <c r="A9" s="2" t="s">
        <v>498</v>
      </c>
      <c r="B9" s="321">
        <f>B7*B8</f>
        <v>0</v>
      </c>
      <c r="C9" s="300"/>
      <c r="D9" s="300"/>
      <c r="E9" s="300"/>
      <c r="F9" s="300"/>
      <c r="G9" s="300"/>
      <c r="H9" s="300"/>
    </row>
    <row r="10" spans="1:26">
      <c r="J10" t="s">
        <v>460</v>
      </c>
      <c r="O10" t="s">
        <v>456</v>
      </c>
      <c r="U10" t="s">
        <v>457</v>
      </c>
      <c r="Y10" t="s">
        <v>458</v>
      </c>
      <c r="Z10" t="s">
        <v>459</v>
      </c>
    </row>
    <row r="11" spans="1:26" ht="18.75">
      <c r="A11" s="414" t="s">
        <v>567</v>
      </c>
      <c r="B11" s="414"/>
      <c r="C11" s="414"/>
      <c r="D11" s="414"/>
      <c r="E11" s="414"/>
      <c r="F11" s="414"/>
      <c r="G11" s="414"/>
      <c r="H11" s="414"/>
      <c r="I11" s="272"/>
      <c r="J11" s="272"/>
      <c r="K11" s="272"/>
      <c r="L11" s="272"/>
      <c r="M11" s="272"/>
      <c r="N11" s="272"/>
      <c r="O11" s="272"/>
      <c r="P11" s="272"/>
    </row>
    <row r="12" spans="1:26">
      <c r="J12" s="3">
        <v>0.65</v>
      </c>
      <c r="K12" s="291">
        <f>J12+0.05</f>
        <v>0.70000000000000007</v>
      </c>
      <c r="L12" s="291">
        <f t="shared" ref="L12:N12" si="0">K12+0.05</f>
        <v>0.75000000000000011</v>
      </c>
      <c r="M12" s="291">
        <f t="shared" si="0"/>
        <v>0.80000000000000016</v>
      </c>
      <c r="N12" s="291">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7" t="s">
        <v>394</v>
      </c>
      <c r="B13" s="277" t="s">
        <v>395</v>
      </c>
      <c r="C13" s="278" t="s">
        <v>453</v>
      </c>
      <c r="D13" s="278" t="s">
        <v>461</v>
      </c>
      <c r="E13" s="278" t="s">
        <v>462</v>
      </c>
      <c r="F13" s="278" t="s">
        <v>396</v>
      </c>
      <c r="G13" s="278" t="s">
        <v>634</v>
      </c>
      <c r="H13" s="278" t="s">
        <v>397</v>
      </c>
      <c r="O13" s="290" t="s">
        <v>2</v>
      </c>
      <c r="P13" s="290" t="s">
        <v>3</v>
      </c>
      <c r="Q13" s="290" t="s">
        <v>4</v>
      </c>
      <c r="R13" s="290" t="s">
        <v>5</v>
      </c>
      <c r="S13" s="290" t="s">
        <v>6</v>
      </c>
      <c r="T13" s="290" t="s">
        <v>2</v>
      </c>
      <c r="U13" s="290" t="s">
        <v>3</v>
      </c>
      <c r="V13" s="290" t="s">
        <v>4</v>
      </c>
      <c r="W13" s="290" t="s">
        <v>5</v>
      </c>
      <c r="X13" s="290" t="s">
        <v>6</v>
      </c>
    </row>
    <row r="14" spans="1:26">
      <c r="A14" s="469" t="s">
        <v>398</v>
      </c>
      <c r="B14" s="273" t="s">
        <v>485</v>
      </c>
      <c r="C14" s="288">
        <v>0.25</v>
      </c>
      <c r="D14" s="10">
        <f t="shared" ref="D14:D40" si="3">$B$9*C14</f>
        <v>0</v>
      </c>
      <c r="E14" s="274">
        <v>15</v>
      </c>
      <c r="F14" s="10">
        <f>D14*E14</f>
        <v>0</v>
      </c>
      <c r="G14" s="289">
        <v>0.1</v>
      </c>
      <c r="H14" s="10">
        <f>(F14-F14*G14)</f>
        <v>0</v>
      </c>
      <c r="J14">
        <f>$D$14*J12</f>
        <v>0</v>
      </c>
      <c r="K14">
        <f>$D$14*K12</f>
        <v>0</v>
      </c>
      <c r="L14">
        <f>$D$14*L12</f>
        <v>0</v>
      </c>
      <c r="M14">
        <f>$D$14*M12</f>
        <v>0</v>
      </c>
      <c r="N14">
        <f>$D$14*N12</f>
        <v>0</v>
      </c>
    </row>
    <row r="15" spans="1:26">
      <c r="A15" s="470"/>
      <c r="B15" s="273" t="s">
        <v>486</v>
      </c>
      <c r="C15" s="288">
        <v>0.25</v>
      </c>
      <c r="D15" s="10">
        <f t="shared" si="3"/>
        <v>0</v>
      </c>
      <c r="E15" s="274">
        <v>26</v>
      </c>
      <c r="F15" s="10">
        <f t="shared" ref="F15:F40" si="4">D15*E15</f>
        <v>0</v>
      </c>
      <c r="G15" s="289">
        <v>0.05</v>
      </c>
      <c r="H15" s="10">
        <f>(F15-F15*G15)</f>
        <v>0</v>
      </c>
    </row>
    <row r="16" spans="1:26">
      <c r="A16" s="470"/>
      <c r="B16" s="273" t="s">
        <v>487</v>
      </c>
      <c r="C16" s="288">
        <v>0</v>
      </c>
      <c r="D16" s="10">
        <f t="shared" si="3"/>
        <v>0</v>
      </c>
      <c r="E16" s="274">
        <v>0</v>
      </c>
      <c r="F16" s="10">
        <f t="shared" si="4"/>
        <v>0</v>
      </c>
      <c r="G16" s="289">
        <v>0</v>
      </c>
      <c r="H16" s="10">
        <f t="shared" ref="H16:H40" si="5">(F16-F16*G16)</f>
        <v>0</v>
      </c>
    </row>
    <row r="17" spans="1:8">
      <c r="A17" s="470"/>
      <c r="B17" s="273" t="s">
        <v>488</v>
      </c>
      <c r="C17" s="288">
        <v>0.25</v>
      </c>
      <c r="D17" s="10">
        <f t="shared" si="3"/>
        <v>0</v>
      </c>
      <c r="E17" s="274">
        <v>7.5</v>
      </c>
      <c r="F17" s="10">
        <f t="shared" si="4"/>
        <v>0</v>
      </c>
      <c r="G17" s="289">
        <v>0.02</v>
      </c>
      <c r="H17" s="10">
        <f t="shared" si="5"/>
        <v>0</v>
      </c>
    </row>
    <row r="18" spans="1:8">
      <c r="A18" s="470"/>
      <c r="B18" s="273" t="s">
        <v>490</v>
      </c>
      <c r="C18" s="288">
        <v>0.25</v>
      </c>
      <c r="D18" s="10">
        <f t="shared" si="3"/>
        <v>0</v>
      </c>
      <c r="E18" s="274">
        <v>2</v>
      </c>
      <c r="F18" s="10">
        <f t="shared" si="4"/>
        <v>0</v>
      </c>
      <c r="G18" s="289">
        <v>0</v>
      </c>
      <c r="H18" s="10">
        <f t="shared" si="5"/>
        <v>0</v>
      </c>
    </row>
    <row r="19" spans="1:8">
      <c r="A19" s="470"/>
      <c r="B19" s="273"/>
      <c r="C19" s="288">
        <v>0</v>
      </c>
      <c r="D19" s="10">
        <f t="shared" si="3"/>
        <v>0</v>
      </c>
      <c r="E19" s="274">
        <v>0</v>
      </c>
      <c r="F19" s="10">
        <f t="shared" si="4"/>
        <v>0</v>
      </c>
      <c r="G19" s="289">
        <v>0.1</v>
      </c>
      <c r="H19" s="10">
        <f t="shared" si="5"/>
        <v>0</v>
      </c>
    </row>
    <row r="20" spans="1:8">
      <c r="A20" s="470"/>
      <c r="B20" s="273"/>
      <c r="C20" s="288">
        <v>0</v>
      </c>
      <c r="D20" s="10">
        <f t="shared" si="3"/>
        <v>0</v>
      </c>
      <c r="E20" s="274">
        <v>0</v>
      </c>
      <c r="F20" s="10">
        <f t="shared" si="4"/>
        <v>0</v>
      </c>
      <c r="G20" s="289">
        <v>0.02</v>
      </c>
      <c r="H20" s="10">
        <f t="shared" si="5"/>
        <v>0</v>
      </c>
    </row>
    <row r="21" spans="1:8">
      <c r="A21" s="470"/>
      <c r="B21" s="273"/>
      <c r="C21" s="288">
        <v>0</v>
      </c>
      <c r="D21" s="10">
        <f t="shared" si="3"/>
        <v>0</v>
      </c>
      <c r="E21" s="274"/>
      <c r="F21" s="10">
        <f t="shared" si="4"/>
        <v>0</v>
      </c>
      <c r="G21" s="289">
        <v>0</v>
      </c>
      <c r="H21" s="10">
        <f t="shared" si="5"/>
        <v>0</v>
      </c>
    </row>
    <row r="22" spans="1:8">
      <c r="A22" s="471"/>
      <c r="B22" s="273"/>
      <c r="C22" s="288">
        <v>0</v>
      </c>
      <c r="D22" s="10">
        <f t="shared" si="3"/>
        <v>0</v>
      </c>
      <c r="E22" s="274"/>
      <c r="F22" s="10">
        <f t="shared" si="4"/>
        <v>0</v>
      </c>
      <c r="G22" s="289">
        <v>0</v>
      </c>
      <c r="H22" s="10">
        <f t="shared" si="5"/>
        <v>0</v>
      </c>
    </row>
    <row r="23" spans="1:8">
      <c r="A23" s="319" t="s">
        <v>503</v>
      </c>
      <c r="B23" s="313"/>
      <c r="C23" s="314">
        <f>B9*B23</f>
        <v>0</v>
      </c>
      <c r="D23" s="10"/>
      <c r="E23" s="274"/>
      <c r="F23" s="10"/>
      <c r="G23" s="289"/>
      <c r="H23" s="10"/>
    </row>
    <row r="24" spans="1:8">
      <c r="A24" s="469" t="s">
        <v>400</v>
      </c>
      <c r="B24" s="273" t="s">
        <v>485</v>
      </c>
      <c r="C24" s="288">
        <v>0</v>
      </c>
      <c r="D24" s="10">
        <f>C$23*C24</f>
        <v>0</v>
      </c>
      <c r="E24" s="274">
        <v>1</v>
      </c>
      <c r="F24" s="10">
        <f t="shared" si="4"/>
        <v>0</v>
      </c>
      <c r="G24" s="289">
        <v>0.1</v>
      </c>
      <c r="H24" s="10">
        <f t="shared" si="5"/>
        <v>0</v>
      </c>
    </row>
    <row r="25" spans="1:8">
      <c r="A25" s="470"/>
      <c r="B25" s="273" t="s">
        <v>486</v>
      </c>
      <c r="C25" s="288">
        <v>0</v>
      </c>
      <c r="D25" s="10">
        <f>C$23*C25</f>
        <v>0</v>
      </c>
      <c r="E25" s="274">
        <v>1</v>
      </c>
      <c r="F25" s="10">
        <f t="shared" si="4"/>
        <v>0</v>
      </c>
      <c r="G25" s="289">
        <v>0.1</v>
      </c>
      <c r="H25" s="10">
        <f t="shared" si="5"/>
        <v>0</v>
      </c>
    </row>
    <row r="26" spans="1:8">
      <c r="A26" s="470"/>
      <c r="B26" s="273" t="s">
        <v>487</v>
      </c>
      <c r="C26" s="288">
        <v>0</v>
      </c>
      <c r="D26" s="10">
        <f>C$23*C26</f>
        <v>0</v>
      </c>
      <c r="E26" s="274">
        <v>1</v>
      </c>
      <c r="F26" s="10">
        <f t="shared" si="4"/>
        <v>0</v>
      </c>
      <c r="G26" s="289">
        <v>0.05</v>
      </c>
      <c r="H26" s="10">
        <f t="shared" si="5"/>
        <v>0</v>
      </c>
    </row>
    <row r="27" spans="1:8">
      <c r="A27" s="470"/>
      <c r="B27" s="273" t="s">
        <v>488</v>
      </c>
      <c r="C27" s="288">
        <v>0</v>
      </c>
      <c r="D27" s="10">
        <f t="shared" ref="D27:D31" si="6">C$23*C27</f>
        <v>0</v>
      </c>
      <c r="E27" s="274">
        <v>2</v>
      </c>
      <c r="F27" s="10">
        <f t="shared" si="4"/>
        <v>0</v>
      </c>
      <c r="G27" s="289">
        <v>0</v>
      </c>
      <c r="H27" s="10">
        <f t="shared" si="5"/>
        <v>0</v>
      </c>
    </row>
    <row r="28" spans="1:8">
      <c r="A28" s="470"/>
      <c r="B28" s="273" t="s">
        <v>489</v>
      </c>
      <c r="C28" s="288">
        <v>0</v>
      </c>
      <c r="D28" s="10">
        <f t="shared" si="6"/>
        <v>0</v>
      </c>
      <c r="E28" s="274"/>
      <c r="F28" s="10">
        <f t="shared" si="4"/>
        <v>0</v>
      </c>
      <c r="G28" s="289">
        <v>0</v>
      </c>
      <c r="H28" s="10">
        <f t="shared" si="5"/>
        <v>0</v>
      </c>
    </row>
    <row r="29" spans="1:8">
      <c r="A29" s="470"/>
      <c r="B29" s="273"/>
      <c r="C29" s="288">
        <v>0</v>
      </c>
      <c r="D29" s="10">
        <f t="shared" si="6"/>
        <v>0</v>
      </c>
      <c r="E29" s="274"/>
      <c r="F29" s="10">
        <f t="shared" si="4"/>
        <v>0</v>
      </c>
      <c r="G29" s="289">
        <v>0</v>
      </c>
      <c r="H29" s="10">
        <f t="shared" si="5"/>
        <v>0</v>
      </c>
    </row>
    <row r="30" spans="1:8">
      <c r="A30" s="470"/>
      <c r="B30" s="273"/>
      <c r="C30" s="288">
        <v>0</v>
      </c>
      <c r="D30" s="10">
        <f t="shared" si="6"/>
        <v>0</v>
      </c>
      <c r="E30" s="274"/>
      <c r="F30" s="10">
        <f t="shared" si="4"/>
        <v>0</v>
      </c>
      <c r="G30" s="289">
        <v>0</v>
      </c>
      <c r="H30" s="10">
        <f t="shared" si="5"/>
        <v>0</v>
      </c>
    </row>
    <row r="31" spans="1:8">
      <c r="A31" s="471"/>
      <c r="B31" s="273"/>
      <c r="C31" s="288">
        <v>0</v>
      </c>
      <c r="D31" s="10">
        <f t="shared" si="6"/>
        <v>0</v>
      </c>
      <c r="E31" s="274"/>
      <c r="F31" s="10">
        <f t="shared" si="4"/>
        <v>0</v>
      </c>
      <c r="G31" s="289">
        <v>0</v>
      </c>
      <c r="H31" s="10">
        <f t="shared" si="5"/>
        <v>0</v>
      </c>
    </row>
    <row r="32" spans="1:8">
      <c r="A32" s="319" t="s">
        <v>504</v>
      </c>
      <c r="B32" s="313"/>
      <c r="C32" s="273">
        <f>B9*B32</f>
        <v>0</v>
      </c>
      <c r="D32" s="10"/>
      <c r="E32" s="274"/>
      <c r="F32" s="10"/>
      <c r="G32" s="289"/>
      <c r="H32" s="10"/>
    </row>
    <row r="33" spans="1:8">
      <c r="A33" s="316" t="s">
        <v>467</v>
      </c>
      <c r="B33" s="273"/>
      <c r="C33" s="288">
        <v>0</v>
      </c>
      <c r="D33" s="10">
        <f>C$32*C33</f>
        <v>0</v>
      </c>
      <c r="E33" s="274"/>
      <c r="F33" s="10">
        <f t="shared" si="4"/>
        <v>0</v>
      </c>
      <c r="G33" s="289">
        <v>0</v>
      </c>
      <c r="H33" s="10">
        <f t="shared" si="5"/>
        <v>0</v>
      </c>
    </row>
    <row r="34" spans="1:8">
      <c r="A34" s="317"/>
      <c r="B34" s="273"/>
      <c r="C34" s="288">
        <v>0</v>
      </c>
      <c r="D34" s="10">
        <f>C$32*C34</f>
        <v>0</v>
      </c>
      <c r="E34" s="274"/>
      <c r="F34" s="10">
        <f t="shared" si="4"/>
        <v>0</v>
      </c>
      <c r="G34" s="289">
        <v>0</v>
      </c>
      <c r="H34" s="10">
        <f t="shared" si="5"/>
        <v>0</v>
      </c>
    </row>
    <row r="35" spans="1:8">
      <c r="A35" s="317"/>
      <c r="B35" s="273"/>
      <c r="C35" s="288">
        <v>0</v>
      </c>
      <c r="D35" s="10">
        <f>C$32*C35</f>
        <v>0</v>
      </c>
      <c r="E35" s="274"/>
      <c r="F35" s="10">
        <f t="shared" si="4"/>
        <v>0</v>
      </c>
      <c r="G35" s="289">
        <v>0</v>
      </c>
      <c r="H35" s="10">
        <f t="shared" si="5"/>
        <v>0</v>
      </c>
    </row>
    <row r="36" spans="1:8">
      <c r="A36" s="318"/>
      <c r="B36" s="273"/>
      <c r="C36" s="288">
        <v>0</v>
      </c>
      <c r="D36" s="10">
        <f>C$32*C36</f>
        <v>0</v>
      </c>
      <c r="E36" s="274"/>
      <c r="F36" s="10">
        <f t="shared" si="4"/>
        <v>0</v>
      </c>
      <c r="G36" s="289">
        <v>0</v>
      </c>
      <c r="H36" s="10">
        <f t="shared" si="5"/>
        <v>0</v>
      </c>
    </row>
    <row r="37" spans="1:8">
      <c r="A37" s="485" t="s">
        <v>505</v>
      </c>
      <c r="B37" s="273" t="s">
        <v>491</v>
      </c>
      <c r="C37" s="288">
        <v>0</v>
      </c>
      <c r="D37" s="10">
        <f t="shared" si="3"/>
        <v>0</v>
      </c>
      <c r="E37" s="274">
        <v>6</v>
      </c>
      <c r="F37" s="10">
        <f t="shared" si="4"/>
        <v>0</v>
      </c>
      <c r="G37" s="289">
        <v>0.05</v>
      </c>
      <c r="H37" s="10">
        <f t="shared" si="5"/>
        <v>0</v>
      </c>
    </row>
    <row r="38" spans="1:8">
      <c r="A38" s="485"/>
      <c r="B38" s="273" t="s">
        <v>492</v>
      </c>
      <c r="C38" s="288">
        <v>0</v>
      </c>
      <c r="D38" s="10">
        <f t="shared" si="3"/>
        <v>0</v>
      </c>
      <c r="E38" s="274"/>
      <c r="F38" s="10">
        <f t="shared" si="4"/>
        <v>0</v>
      </c>
      <c r="G38" s="289">
        <v>0</v>
      </c>
      <c r="H38" s="10">
        <f t="shared" si="5"/>
        <v>0</v>
      </c>
    </row>
    <row r="39" spans="1:8">
      <c r="A39" s="485"/>
      <c r="B39" s="273" t="s">
        <v>493</v>
      </c>
      <c r="C39" s="288">
        <v>0</v>
      </c>
      <c r="D39" s="10">
        <f t="shared" si="3"/>
        <v>0</v>
      </c>
      <c r="E39" s="274"/>
      <c r="F39" s="10">
        <f t="shared" si="4"/>
        <v>0</v>
      </c>
      <c r="G39" s="289">
        <v>0</v>
      </c>
      <c r="H39" s="10">
        <f t="shared" si="5"/>
        <v>0</v>
      </c>
    </row>
    <row r="40" spans="1:8">
      <c r="A40" s="485"/>
      <c r="B40" s="273" t="s">
        <v>494</v>
      </c>
      <c r="C40" s="288">
        <v>0</v>
      </c>
      <c r="D40" s="10">
        <f t="shared" si="3"/>
        <v>0</v>
      </c>
      <c r="E40" s="274"/>
      <c r="F40" s="10">
        <f t="shared" si="4"/>
        <v>0</v>
      </c>
      <c r="G40" s="289">
        <v>0</v>
      </c>
      <c r="H40" s="10">
        <f t="shared" si="5"/>
        <v>0</v>
      </c>
    </row>
    <row r="41" spans="1:8">
      <c r="A41" s="468" t="s">
        <v>403</v>
      </c>
      <c r="B41" s="468"/>
      <c r="C41" s="468"/>
      <c r="D41" s="468"/>
      <c r="E41" s="468"/>
      <c r="F41" s="468"/>
      <c r="G41" s="468"/>
      <c r="H41" s="468"/>
    </row>
    <row r="43" spans="1:8" ht="18.75">
      <c r="A43" s="472" t="s">
        <v>568</v>
      </c>
      <c r="B43" s="473"/>
      <c r="C43" s="473"/>
      <c r="D43" s="473"/>
      <c r="E43" s="473"/>
      <c r="F43" s="473"/>
      <c r="G43" s="473"/>
      <c r="H43" s="474"/>
    </row>
    <row r="44" spans="1:8">
      <c r="A44" s="475" t="s">
        <v>0</v>
      </c>
      <c r="B44" s="304">
        <v>0.35</v>
      </c>
      <c r="C44" s="304">
        <f>B44+0.05</f>
        <v>0.39999999999999997</v>
      </c>
      <c r="D44" s="304">
        <f t="shared" ref="D44:G44" si="7">C44+0.05</f>
        <v>0.44999999999999996</v>
      </c>
      <c r="E44" s="304">
        <f t="shared" si="7"/>
        <v>0.49999999999999994</v>
      </c>
      <c r="F44" s="304">
        <f t="shared" si="7"/>
        <v>0.54999999999999993</v>
      </c>
      <c r="G44" s="304">
        <f t="shared" si="7"/>
        <v>0.6</v>
      </c>
      <c r="H44" s="304">
        <f>G44+0.05</f>
        <v>0.65</v>
      </c>
    </row>
    <row r="45" spans="1:8">
      <c r="A45" s="476"/>
      <c r="B45" s="295" t="s">
        <v>2</v>
      </c>
      <c r="C45" s="295" t="s">
        <v>3</v>
      </c>
      <c r="D45" s="295" t="s">
        <v>4</v>
      </c>
      <c r="E45" s="295" t="s">
        <v>5</v>
      </c>
      <c r="F45" s="295" t="s">
        <v>6</v>
      </c>
      <c r="G45" s="295" t="s">
        <v>167</v>
      </c>
      <c r="H45" s="295" t="s">
        <v>166</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477" t="s">
        <v>569</v>
      </c>
      <c r="B71" s="478"/>
      <c r="C71" s="478"/>
      <c r="D71" s="478"/>
      <c r="E71" s="478"/>
      <c r="F71" s="478"/>
      <c r="G71" s="478"/>
      <c r="H71" s="479"/>
    </row>
    <row r="72" spans="1:8">
      <c r="A72" s="480" t="s">
        <v>0</v>
      </c>
      <c r="B72" s="305">
        <v>0.05</v>
      </c>
      <c r="C72" s="305">
        <f>B72+0.05</f>
        <v>0.1</v>
      </c>
      <c r="D72" s="305">
        <f t="shared" ref="D72:G72" si="26">C72+0.05</f>
        <v>0.15000000000000002</v>
      </c>
      <c r="E72" s="305">
        <f t="shared" si="26"/>
        <v>0.2</v>
      </c>
      <c r="F72" s="305">
        <f t="shared" si="26"/>
        <v>0.25</v>
      </c>
      <c r="G72" s="305">
        <f t="shared" si="26"/>
        <v>0.3</v>
      </c>
      <c r="H72" s="305">
        <f>G72+0.05</f>
        <v>0.35</v>
      </c>
    </row>
    <row r="73" spans="1:8">
      <c r="A73" s="481"/>
      <c r="B73" s="295" t="s">
        <v>2</v>
      </c>
      <c r="C73" s="295" t="s">
        <v>3</v>
      </c>
      <c r="D73" s="295" t="s">
        <v>4</v>
      </c>
      <c r="E73" s="295" t="s">
        <v>5</v>
      </c>
      <c r="F73" s="295" t="s">
        <v>6</v>
      </c>
      <c r="G73" s="295" t="s">
        <v>167</v>
      </c>
      <c r="H73" s="295" t="s">
        <v>166</v>
      </c>
    </row>
    <row r="74" spans="1:8" s="13" customFormat="1">
      <c r="A74" s="10" t="str">
        <f t="shared" ref="A74:A98" si="27">A46</f>
        <v>Onion</v>
      </c>
      <c r="B74" s="10">
        <f t="shared" ref="B74" si="28">H14*$B$72</f>
        <v>0</v>
      </c>
      <c r="C74" s="10">
        <f t="shared" ref="C74:H74" si="29">I14*$B$72</f>
        <v>0</v>
      </c>
      <c r="D74" s="10">
        <f t="shared" si="29"/>
        <v>0</v>
      </c>
      <c r="E74" s="10">
        <f t="shared" si="29"/>
        <v>0</v>
      </c>
      <c r="F74" s="10">
        <f t="shared" si="29"/>
        <v>0</v>
      </c>
      <c r="G74" s="10">
        <f t="shared" si="29"/>
        <v>0</v>
      </c>
      <c r="H74" s="10">
        <f t="shared" si="29"/>
        <v>0</v>
      </c>
    </row>
    <row r="75" spans="1:8">
      <c r="A75" s="10" t="str">
        <f t="shared" si="27"/>
        <v>Tomato</v>
      </c>
      <c r="B75" s="10">
        <f>H15*$B$72*0</f>
        <v>0</v>
      </c>
      <c r="C75" s="10">
        <f>(B75/B72)*C72</f>
        <v>0</v>
      </c>
      <c r="D75" s="10">
        <f t="shared" ref="D75:G75" si="30">(C75/C72)*D72</f>
        <v>0</v>
      </c>
      <c r="E75" s="10">
        <f t="shared" si="30"/>
        <v>0</v>
      </c>
      <c r="F75" s="10">
        <f t="shared" si="30"/>
        <v>0</v>
      </c>
      <c r="G75" s="10">
        <f t="shared" si="30"/>
        <v>0</v>
      </c>
      <c r="H75" s="10">
        <f>(G75/G72)*H72</f>
        <v>0</v>
      </c>
    </row>
    <row r="76" spans="1:8">
      <c r="A76" s="10" t="str">
        <f t="shared" si="27"/>
        <v>Okra</v>
      </c>
      <c r="B76" s="10">
        <f t="shared" ref="B76:B82" si="31">H16*$B$72</f>
        <v>0</v>
      </c>
      <c r="C76" s="10">
        <f>(B76/B72)*C72</f>
        <v>0</v>
      </c>
      <c r="D76" s="10">
        <f>(C76/C72)*D72</f>
        <v>0</v>
      </c>
      <c r="E76" s="10">
        <f t="shared" ref="E76:G76" si="32">(D76/D72)*E72</f>
        <v>0</v>
      </c>
      <c r="F76" s="10">
        <f t="shared" si="32"/>
        <v>0</v>
      </c>
      <c r="G76" s="10">
        <f t="shared" si="32"/>
        <v>0</v>
      </c>
      <c r="H76" s="10">
        <f>(G76/G72)*H72</f>
        <v>0</v>
      </c>
    </row>
    <row r="77" spans="1:8">
      <c r="A77" s="10" t="str">
        <f t="shared" si="27"/>
        <v>Chilli</v>
      </c>
      <c r="B77" s="10">
        <f>H17*$B$72*0</f>
        <v>0</v>
      </c>
      <c r="C77" s="10">
        <f t="shared" ref="C77:H95" si="33">(B77/B$72)*C$72</f>
        <v>0</v>
      </c>
      <c r="D77" s="10">
        <f t="shared" si="33"/>
        <v>0</v>
      </c>
      <c r="E77" s="10">
        <f t="shared" si="33"/>
        <v>0</v>
      </c>
      <c r="F77" s="10">
        <f t="shared" si="33"/>
        <v>0</v>
      </c>
      <c r="G77" s="10">
        <f t="shared" si="33"/>
        <v>0</v>
      </c>
      <c r="H77" s="10">
        <f t="shared" si="33"/>
        <v>0</v>
      </c>
    </row>
    <row r="78" spans="1:8">
      <c r="A78" s="10" t="str">
        <f t="shared" si="27"/>
        <v>Potato</v>
      </c>
      <c r="B78" s="10">
        <f t="shared" si="31"/>
        <v>0</v>
      </c>
      <c r="C78" s="10">
        <f t="shared" si="33"/>
        <v>0</v>
      </c>
      <c r="D78" s="10">
        <f t="shared" si="33"/>
        <v>0</v>
      </c>
      <c r="E78" s="10">
        <f t="shared" si="33"/>
        <v>0</v>
      </c>
      <c r="F78" s="10">
        <f t="shared" si="33"/>
        <v>0</v>
      </c>
      <c r="G78" s="10">
        <f t="shared" si="33"/>
        <v>0</v>
      </c>
      <c r="H78" s="10">
        <f t="shared" si="33"/>
        <v>0</v>
      </c>
    </row>
    <row r="79" spans="1:8">
      <c r="A79" s="10">
        <f t="shared" si="27"/>
        <v>0</v>
      </c>
      <c r="B79" s="10">
        <f>H19*$B$72*0</f>
        <v>0</v>
      </c>
      <c r="C79" s="10">
        <f t="shared" si="33"/>
        <v>0</v>
      </c>
      <c r="D79" s="10">
        <f t="shared" si="33"/>
        <v>0</v>
      </c>
      <c r="E79" s="10">
        <f t="shared" si="33"/>
        <v>0</v>
      </c>
      <c r="F79" s="10">
        <f t="shared" si="33"/>
        <v>0</v>
      </c>
      <c r="G79" s="10">
        <f t="shared" si="33"/>
        <v>0</v>
      </c>
      <c r="H79" s="10">
        <f t="shared" si="33"/>
        <v>0</v>
      </c>
    </row>
    <row r="80" spans="1:8">
      <c r="A80" s="10">
        <f t="shared" si="27"/>
        <v>0</v>
      </c>
      <c r="B80" s="10">
        <f>H20*$B$72*0</f>
        <v>0</v>
      </c>
      <c r="C80" s="10">
        <f t="shared" si="33"/>
        <v>0</v>
      </c>
      <c r="D80" s="10">
        <f t="shared" si="33"/>
        <v>0</v>
      </c>
      <c r="E80" s="10">
        <f t="shared" si="33"/>
        <v>0</v>
      </c>
      <c r="F80" s="10">
        <f t="shared" si="33"/>
        <v>0</v>
      </c>
      <c r="G80" s="10">
        <f t="shared" si="33"/>
        <v>0</v>
      </c>
      <c r="H80" s="10">
        <f t="shared" si="33"/>
        <v>0</v>
      </c>
    </row>
    <row r="81" spans="1:8">
      <c r="A81" s="10">
        <f t="shared" si="27"/>
        <v>0</v>
      </c>
      <c r="B81" s="10">
        <f t="shared" si="31"/>
        <v>0</v>
      </c>
      <c r="C81" s="10">
        <f t="shared" si="33"/>
        <v>0</v>
      </c>
      <c r="D81" s="10">
        <f t="shared" si="33"/>
        <v>0</v>
      </c>
      <c r="E81" s="10">
        <f t="shared" si="33"/>
        <v>0</v>
      </c>
      <c r="F81" s="10">
        <f t="shared" si="33"/>
        <v>0</v>
      </c>
      <c r="G81" s="10">
        <f t="shared" si="33"/>
        <v>0</v>
      </c>
      <c r="H81" s="10">
        <f t="shared" si="33"/>
        <v>0</v>
      </c>
    </row>
    <row r="82" spans="1:8">
      <c r="A82" s="10">
        <f t="shared" si="27"/>
        <v>0</v>
      </c>
      <c r="B82" s="10">
        <f t="shared" si="31"/>
        <v>0</v>
      </c>
      <c r="C82" s="10">
        <f t="shared" si="33"/>
        <v>0</v>
      </c>
      <c r="D82" s="10">
        <f t="shared" si="33"/>
        <v>0</v>
      </c>
      <c r="E82" s="10">
        <f t="shared" si="33"/>
        <v>0</v>
      </c>
      <c r="F82" s="10">
        <f t="shared" si="33"/>
        <v>0</v>
      </c>
      <c r="G82" s="10">
        <f t="shared" si="33"/>
        <v>0</v>
      </c>
      <c r="H82" s="10">
        <f t="shared" si="33"/>
        <v>0</v>
      </c>
    </row>
    <row r="83" spans="1:8">
      <c r="A83" s="10" t="str">
        <f t="shared" si="27"/>
        <v>Onion</v>
      </c>
      <c r="B83" s="10">
        <f t="shared" ref="B83:B90" si="34">H24*$B$72</f>
        <v>0</v>
      </c>
      <c r="C83" s="10">
        <f t="shared" si="33"/>
        <v>0</v>
      </c>
      <c r="D83" s="10">
        <f t="shared" si="33"/>
        <v>0</v>
      </c>
      <c r="E83" s="10">
        <f t="shared" si="33"/>
        <v>0</v>
      </c>
      <c r="F83" s="10">
        <f t="shared" si="33"/>
        <v>0</v>
      </c>
      <c r="G83" s="10">
        <f t="shared" si="33"/>
        <v>0</v>
      </c>
      <c r="H83" s="10">
        <f t="shared" si="33"/>
        <v>0</v>
      </c>
    </row>
    <row r="84" spans="1:8">
      <c r="A84" s="10" t="str">
        <f t="shared" si="27"/>
        <v>Tomato</v>
      </c>
      <c r="B84" s="10">
        <f t="shared" si="34"/>
        <v>0</v>
      </c>
      <c r="C84" s="10">
        <f t="shared" si="33"/>
        <v>0</v>
      </c>
      <c r="D84" s="10">
        <f t="shared" si="33"/>
        <v>0</v>
      </c>
      <c r="E84" s="10">
        <f t="shared" si="33"/>
        <v>0</v>
      </c>
      <c r="F84" s="10">
        <f t="shared" si="33"/>
        <v>0</v>
      </c>
      <c r="G84" s="10">
        <f t="shared" si="33"/>
        <v>0</v>
      </c>
      <c r="H84" s="10">
        <f t="shared" si="33"/>
        <v>0</v>
      </c>
    </row>
    <row r="85" spans="1:8">
      <c r="A85" s="10" t="str">
        <f t="shared" si="27"/>
        <v>Okra</v>
      </c>
      <c r="B85" s="10">
        <f t="shared" si="34"/>
        <v>0</v>
      </c>
      <c r="C85" s="10">
        <f t="shared" si="33"/>
        <v>0</v>
      </c>
      <c r="D85" s="10">
        <f t="shared" si="33"/>
        <v>0</v>
      </c>
      <c r="E85" s="10">
        <f t="shared" si="33"/>
        <v>0</v>
      </c>
      <c r="F85" s="10">
        <f t="shared" si="33"/>
        <v>0</v>
      </c>
      <c r="G85" s="10">
        <f t="shared" si="33"/>
        <v>0</v>
      </c>
      <c r="H85" s="10">
        <f t="shared" si="33"/>
        <v>0</v>
      </c>
    </row>
    <row r="86" spans="1:8">
      <c r="A86" s="10" t="str">
        <f t="shared" si="27"/>
        <v>Chilli</v>
      </c>
      <c r="B86" s="10">
        <f t="shared" si="34"/>
        <v>0</v>
      </c>
      <c r="C86" s="10">
        <f t="shared" si="33"/>
        <v>0</v>
      </c>
      <c r="D86" s="10">
        <f t="shared" si="33"/>
        <v>0</v>
      </c>
      <c r="E86" s="10">
        <f t="shared" si="33"/>
        <v>0</v>
      </c>
      <c r="F86" s="10">
        <f t="shared" si="33"/>
        <v>0</v>
      </c>
      <c r="G86" s="10">
        <f t="shared" si="33"/>
        <v>0</v>
      </c>
      <c r="H86" s="10">
        <f t="shared" si="33"/>
        <v>0</v>
      </c>
    </row>
    <row r="87" spans="1:8">
      <c r="A87" s="10" t="str">
        <f t="shared" si="27"/>
        <v>Brinjal</v>
      </c>
      <c r="B87" s="10">
        <f t="shared" si="34"/>
        <v>0</v>
      </c>
      <c r="C87" s="10">
        <f t="shared" si="33"/>
        <v>0</v>
      </c>
      <c r="D87" s="10">
        <f t="shared" si="33"/>
        <v>0</v>
      </c>
      <c r="E87" s="10">
        <f t="shared" si="33"/>
        <v>0</v>
      </c>
      <c r="F87" s="10">
        <f t="shared" si="33"/>
        <v>0</v>
      </c>
      <c r="G87" s="10">
        <f t="shared" si="33"/>
        <v>0</v>
      </c>
      <c r="H87" s="10">
        <f t="shared" si="33"/>
        <v>0</v>
      </c>
    </row>
    <row r="88" spans="1:8">
      <c r="A88" s="10">
        <f t="shared" si="27"/>
        <v>0</v>
      </c>
      <c r="B88" s="10">
        <f t="shared" si="34"/>
        <v>0</v>
      </c>
      <c r="C88" s="10">
        <f t="shared" si="33"/>
        <v>0</v>
      </c>
      <c r="D88" s="10">
        <f t="shared" si="33"/>
        <v>0</v>
      </c>
      <c r="E88" s="10">
        <f t="shared" si="33"/>
        <v>0</v>
      </c>
      <c r="F88" s="10">
        <f t="shared" si="33"/>
        <v>0</v>
      </c>
      <c r="G88" s="10">
        <f t="shared" si="33"/>
        <v>0</v>
      </c>
      <c r="H88" s="10">
        <f t="shared" si="33"/>
        <v>0</v>
      </c>
    </row>
    <row r="89" spans="1:8">
      <c r="A89" s="10">
        <f t="shared" si="27"/>
        <v>0</v>
      </c>
      <c r="B89" s="10">
        <f t="shared" si="34"/>
        <v>0</v>
      </c>
      <c r="C89" s="10">
        <f t="shared" si="33"/>
        <v>0</v>
      </c>
      <c r="D89" s="10">
        <f t="shared" si="33"/>
        <v>0</v>
      </c>
      <c r="E89" s="10">
        <f t="shared" si="33"/>
        <v>0</v>
      </c>
      <c r="F89" s="10">
        <f t="shared" si="33"/>
        <v>0</v>
      </c>
      <c r="G89" s="10">
        <f t="shared" si="33"/>
        <v>0</v>
      </c>
      <c r="H89" s="10">
        <f t="shared" si="33"/>
        <v>0</v>
      </c>
    </row>
    <row r="90" spans="1:8">
      <c r="A90" s="10">
        <f t="shared" si="27"/>
        <v>0</v>
      </c>
      <c r="B90" s="10">
        <f t="shared" si="34"/>
        <v>0</v>
      </c>
      <c r="C90" s="10">
        <f t="shared" si="33"/>
        <v>0</v>
      </c>
      <c r="D90" s="10">
        <f t="shared" si="33"/>
        <v>0</v>
      </c>
      <c r="E90" s="10">
        <f t="shared" si="33"/>
        <v>0</v>
      </c>
      <c r="F90" s="10">
        <f t="shared" si="33"/>
        <v>0</v>
      </c>
      <c r="G90" s="10">
        <f t="shared" si="33"/>
        <v>0</v>
      </c>
      <c r="H90" s="10">
        <f t="shared" si="33"/>
        <v>0</v>
      </c>
    </row>
    <row r="91" spans="1:8">
      <c r="A91" s="10">
        <f t="shared" si="27"/>
        <v>0</v>
      </c>
      <c r="B91" s="10">
        <f t="shared" ref="B91:B98" si="35">H33*$B$72</f>
        <v>0</v>
      </c>
      <c r="C91" s="10">
        <f t="shared" si="33"/>
        <v>0</v>
      </c>
      <c r="D91" s="10">
        <f t="shared" ref="D91:D94" si="36">(C91/C$72)*D$72</f>
        <v>0</v>
      </c>
      <c r="E91" s="10">
        <f t="shared" ref="E91:E94" si="37">(D91/D$72)*E$72</f>
        <v>0</v>
      </c>
      <c r="F91" s="10">
        <f t="shared" ref="F91:F94" si="38">(E91/E$72)*F$72</f>
        <v>0</v>
      </c>
      <c r="G91" s="10">
        <f t="shared" ref="G91:G94" si="39">(F91/F$72)*G$72</f>
        <v>0</v>
      </c>
      <c r="H91" s="10">
        <f t="shared" si="33"/>
        <v>0</v>
      </c>
    </row>
    <row r="92" spans="1:8">
      <c r="A92" s="10">
        <f t="shared" si="27"/>
        <v>0</v>
      </c>
      <c r="B92" s="10">
        <f t="shared" si="35"/>
        <v>0</v>
      </c>
      <c r="C92" s="10">
        <f t="shared" si="33"/>
        <v>0</v>
      </c>
      <c r="D92" s="10">
        <f t="shared" si="36"/>
        <v>0</v>
      </c>
      <c r="E92" s="10">
        <f t="shared" si="37"/>
        <v>0</v>
      </c>
      <c r="F92" s="10">
        <f t="shared" si="38"/>
        <v>0</v>
      </c>
      <c r="G92" s="10">
        <f t="shared" si="39"/>
        <v>0</v>
      </c>
      <c r="H92" s="10"/>
    </row>
    <row r="93" spans="1:8">
      <c r="A93" s="10">
        <f t="shared" si="27"/>
        <v>0</v>
      </c>
      <c r="B93" s="10">
        <f t="shared" si="35"/>
        <v>0</v>
      </c>
      <c r="C93" s="10">
        <f t="shared" si="33"/>
        <v>0</v>
      </c>
      <c r="D93" s="10">
        <f t="shared" si="36"/>
        <v>0</v>
      </c>
      <c r="E93" s="10">
        <f t="shared" si="37"/>
        <v>0</v>
      </c>
      <c r="F93" s="10">
        <f t="shared" si="38"/>
        <v>0</v>
      </c>
      <c r="G93" s="10">
        <f t="shared" si="39"/>
        <v>0</v>
      </c>
      <c r="H93" s="10"/>
    </row>
    <row r="94" spans="1:8">
      <c r="A94" s="10">
        <f t="shared" si="27"/>
        <v>0</v>
      </c>
      <c r="B94" s="10">
        <f t="shared" si="35"/>
        <v>0</v>
      </c>
      <c r="C94" s="10">
        <f t="shared" si="33"/>
        <v>0</v>
      </c>
      <c r="D94" s="10">
        <f t="shared" si="36"/>
        <v>0</v>
      </c>
      <c r="E94" s="10">
        <f t="shared" si="37"/>
        <v>0</v>
      </c>
      <c r="F94" s="10">
        <f t="shared" si="38"/>
        <v>0</v>
      </c>
      <c r="G94" s="10">
        <f t="shared" si="39"/>
        <v>0</v>
      </c>
      <c r="H94" s="10"/>
    </row>
    <row r="95" spans="1:8">
      <c r="A95" s="10" t="str">
        <f t="shared" si="27"/>
        <v>Pomegranate</v>
      </c>
      <c r="B95" s="10">
        <f t="shared" si="35"/>
        <v>0</v>
      </c>
      <c r="C95" s="10">
        <f t="shared" si="33"/>
        <v>0</v>
      </c>
      <c r="D95" s="10">
        <f t="shared" si="33"/>
        <v>0</v>
      </c>
      <c r="E95" s="10">
        <f t="shared" si="33"/>
        <v>0</v>
      </c>
      <c r="F95" s="10">
        <f t="shared" si="33"/>
        <v>0</v>
      </c>
      <c r="G95" s="10">
        <f t="shared" si="33"/>
        <v>0</v>
      </c>
      <c r="H95" s="10">
        <f t="shared" si="33"/>
        <v>0</v>
      </c>
    </row>
    <row r="96" spans="1:8">
      <c r="A96" s="10" t="str">
        <f t="shared" si="27"/>
        <v>Custard Apple</v>
      </c>
      <c r="B96" s="10">
        <f t="shared" si="35"/>
        <v>0</v>
      </c>
      <c r="C96" s="10">
        <f t="shared" ref="C96:H98" si="40">(B96/B$72)*C$72</f>
        <v>0</v>
      </c>
      <c r="D96" s="10">
        <f t="shared" si="40"/>
        <v>0</v>
      </c>
      <c r="E96" s="10">
        <f t="shared" si="40"/>
        <v>0</v>
      </c>
      <c r="F96" s="10">
        <f t="shared" si="40"/>
        <v>0</v>
      </c>
      <c r="G96" s="10">
        <f t="shared" si="40"/>
        <v>0</v>
      </c>
      <c r="H96" s="10">
        <f t="shared" si="40"/>
        <v>0</v>
      </c>
    </row>
    <row r="97" spans="1:9">
      <c r="A97" s="10" t="str">
        <f t="shared" si="27"/>
        <v>Guava</v>
      </c>
      <c r="B97" s="10">
        <f t="shared" si="35"/>
        <v>0</v>
      </c>
      <c r="C97" s="10">
        <f t="shared" si="40"/>
        <v>0</v>
      </c>
      <c r="D97" s="10">
        <f t="shared" si="40"/>
        <v>0</v>
      </c>
      <c r="E97" s="10">
        <f t="shared" si="40"/>
        <v>0</v>
      </c>
      <c r="F97" s="10">
        <f t="shared" si="40"/>
        <v>0</v>
      </c>
      <c r="G97" s="10">
        <f t="shared" si="40"/>
        <v>0</v>
      </c>
      <c r="H97" s="10">
        <f t="shared" si="40"/>
        <v>0</v>
      </c>
    </row>
    <row r="98" spans="1:9">
      <c r="A98" s="10" t="str">
        <f t="shared" si="27"/>
        <v>Citrus</v>
      </c>
      <c r="B98" s="10">
        <f t="shared" si="35"/>
        <v>0</v>
      </c>
      <c r="C98" s="10">
        <f t="shared" si="40"/>
        <v>0</v>
      </c>
      <c r="D98" s="10">
        <f t="shared" ref="D98" si="41">(C98/C$72)*D$72</f>
        <v>0</v>
      </c>
      <c r="E98" s="10">
        <f t="shared" ref="E98" si="42">(D98/D$72)*E$72</f>
        <v>0</v>
      </c>
      <c r="F98" s="10">
        <f t="shared" ref="F98" si="43">(E98/E$72)*F$72</f>
        <v>0</v>
      </c>
      <c r="G98" s="10">
        <f t="shared" ref="G98" si="44">(F98/F$72)*G$72</f>
        <v>0</v>
      </c>
      <c r="H98" s="10">
        <f t="shared" ref="H98" si="45">(G98/G$72)*H$72</f>
        <v>0</v>
      </c>
      <c r="I98" s="283"/>
    </row>
    <row r="99" spans="1:9" ht="18.75">
      <c r="A99" s="477" t="s">
        <v>570</v>
      </c>
      <c r="B99" s="478"/>
      <c r="C99" s="478"/>
      <c r="D99" s="478"/>
      <c r="E99" s="478"/>
      <c r="F99" s="478"/>
      <c r="G99" s="478"/>
      <c r="H99" s="479"/>
    </row>
    <row r="100" spans="1:9">
      <c r="A100" s="466" t="s">
        <v>0</v>
      </c>
      <c r="B100" s="329">
        <v>0.65</v>
      </c>
      <c r="C100" s="330">
        <f>B100+0.05</f>
        <v>0.70000000000000007</v>
      </c>
      <c r="D100" s="330">
        <f t="shared" ref="D100:G100" si="46">C100+0.05</f>
        <v>0.75000000000000011</v>
      </c>
      <c r="E100" s="330">
        <f t="shared" si="46"/>
        <v>0.80000000000000016</v>
      </c>
      <c r="F100" s="330">
        <f t="shared" si="46"/>
        <v>0.8500000000000002</v>
      </c>
      <c r="G100" s="330">
        <f t="shared" si="46"/>
        <v>0.90000000000000024</v>
      </c>
      <c r="H100" s="330">
        <f>G100+0.05</f>
        <v>0.95000000000000029</v>
      </c>
    </row>
    <row r="101" spans="1:9">
      <c r="A101" s="467"/>
      <c r="B101" s="295" t="s">
        <v>2</v>
      </c>
      <c r="C101" s="295" t="s">
        <v>3</v>
      </c>
      <c r="D101" s="295" t="s">
        <v>4</v>
      </c>
      <c r="E101" s="295" t="s">
        <v>5</v>
      </c>
      <c r="F101" s="295" t="s">
        <v>6</v>
      </c>
      <c r="G101" s="295" t="s">
        <v>167</v>
      </c>
      <c r="H101" s="295" t="s">
        <v>166</v>
      </c>
    </row>
    <row r="102" spans="1:9" s="13" customFormat="1">
      <c r="A102" s="10" t="str">
        <f t="shared" ref="A102:A126" si="47">A74</f>
        <v>Onion</v>
      </c>
      <c r="B102" s="10">
        <f t="shared" ref="B102:B110" si="48">D14*$B$100</f>
        <v>0</v>
      </c>
      <c r="C102" s="292">
        <f t="shared" ref="C102:H117" si="49">(B102/B$100)*C$100</f>
        <v>0</v>
      </c>
      <c r="D102" s="292">
        <f t="shared" si="49"/>
        <v>0</v>
      </c>
      <c r="E102" s="292">
        <f t="shared" si="49"/>
        <v>0</v>
      </c>
      <c r="F102" s="292">
        <f t="shared" si="49"/>
        <v>0</v>
      </c>
      <c r="G102" s="292">
        <f t="shared" si="49"/>
        <v>0</v>
      </c>
      <c r="H102" s="292">
        <f t="shared" si="49"/>
        <v>0</v>
      </c>
    </row>
    <row r="103" spans="1:9">
      <c r="A103" s="10" t="str">
        <f t="shared" si="47"/>
        <v>Tomato</v>
      </c>
      <c r="B103" s="10">
        <f t="shared" si="48"/>
        <v>0</v>
      </c>
      <c r="C103" s="292">
        <f t="shared" si="49"/>
        <v>0</v>
      </c>
      <c r="D103" s="292">
        <f>(C103/C100)*D100</f>
        <v>0</v>
      </c>
      <c r="E103" s="292">
        <f t="shared" ref="E103:G103" si="50">(D103/D100)*E100</f>
        <v>0</v>
      </c>
      <c r="F103" s="292">
        <f t="shared" si="50"/>
        <v>0</v>
      </c>
      <c r="G103" s="292">
        <f t="shared" si="50"/>
        <v>0</v>
      </c>
      <c r="H103" s="292">
        <f>(G103/G100)*H100</f>
        <v>0</v>
      </c>
    </row>
    <row r="104" spans="1:9">
      <c r="A104" s="10" t="str">
        <f t="shared" si="47"/>
        <v>Okra</v>
      </c>
      <c r="B104" s="10">
        <f t="shared" si="48"/>
        <v>0</v>
      </c>
      <c r="C104" s="292">
        <f t="shared" si="49"/>
        <v>0</v>
      </c>
      <c r="D104" s="292">
        <f t="shared" si="49"/>
        <v>0</v>
      </c>
      <c r="E104" s="292">
        <f t="shared" si="49"/>
        <v>0</v>
      </c>
      <c r="F104" s="292">
        <f t="shared" si="49"/>
        <v>0</v>
      </c>
      <c r="G104" s="292">
        <f t="shared" si="49"/>
        <v>0</v>
      </c>
      <c r="H104" s="292">
        <f t="shared" si="49"/>
        <v>0</v>
      </c>
    </row>
    <row r="105" spans="1:9">
      <c r="A105" s="10" t="str">
        <f t="shared" si="47"/>
        <v>Chilli</v>
      </c>
      <c r="B105" s="10">
        <f t="shared" si="48"/>
        <v>0</v>
      </c>
      <c r="C105" s="292">
        <f t="shared" si="49"/>
        <v>0</v>
      </c>
      <c r="D105" s="292">
        <f t="shared" si="49"/>
        <v>0</v>
      </c>
      <c r="E105" s="292">
        <f t="shared" si="49"/>
        <v>0</v>
      </c>
      <c r="F105" s="292">
        <f t="shared" si="49"/>
        <v>0</v>
      </c>
      <c r="G105" s="292">
        <f t="shared" si="49"/>
        <v>0</v>
      </c>
      <c r="H105" s="292">
        <f t="shared" si="49"/>
        <v>0</v>
      </c>
    </row>
    <row r="106" spans="1:9">
      <c r="A106" s="10" t="str">
        <f t="shared" si="47"/>
        <v>Potato</v>
      </c>
      <c r="B106" s="365">
        <f t="shared" si="48"/>
        <v>0</v>
      </c>
      <c r="C106" s="292">
        <f t="shared" si="49"/>
        <v>0</v>
      </c>
      <c r="D106" s="292">
        <f t="shared" si="49"/>
        <v>0</v>
      </c>
      <c r="E106" s="292">
        <f t="shared" si="49"/>
        <v>0</v>
      </c>
      <c r="F106" s="292">
        <f t="shared" si="49"/>
        <v>0</v>
      </c>
      <c r="G106" s="292">
        <f t="shared" si="49"/>
        <v>0</v>
      </c>
      <c r="H106" s="292">
        <f t="shared" si="49"/>
        <v>0</v>
      </c>
    </row>
    <row r="107" spans="1:9">
      <c r="A107" s="10">
        <f t="shared" si="47"/>
        <v>0</v>
      </c>
      <c r="B107" s="10">
        <f t="shared" si="48"/>
        <v>0</v>
      </c>
      <c r="C107" s="292">
        <f t="shared" si="49"/>
        <v>0</v>
      </c>
      <c r="D107" s="292">
        <f t="shared" si="49"/>
        <v>0</v>
      </c>
      <c r="E107" s="292">
        <f t="shared" si="49"/>
        <v>0</v>
      </c>
      <c r="F107" s="292">
        <f t="shared" si="49"/>
        <v>0</v>
      </c>
      <c r="G107" s="292">
        <f t="shared" si="49"/>
        <v>0</v>
      </c>
      <c r="H107" s="292">
        <f t="shared" si="49"/>
        <v>0</v>
      </c>
    </row>
    <row r="108" spans="1:9">
      <c r="A108" s="10">
        <f t="shared" si="47"/>
        <v>0</v>
      </c>
      <c r="B108" s="10">
        <f t="shared" si="48"/>
        <v>0</v>
      </c>
      <c r="C108" s="292">
        <f t="shared" si="49"/>
        <v>0</v>
      </c>
      <c r="D108" s="292">
        <f t="shared" si="49"/>
        <v>0</v>
      </c>
      <c r="E108" s="292">
        <f t="shared" si="49"/>
        <v>0</v>
      </c>
      <c r="F108" s="292">
        <f t="shared" si="49"/>
        <v>0</v>
      </c>
      <c r="G108" s="292">
        <f t="shared" si="49"/>
        <v>0</v>
      </c>
      <c r="H108" s="292">
        <f t="shared" si="49"/>
        <v>0</v>
      </c>
    </row>
    <row r="109" spans="1:9">
      <c r="A109" s="10">
        <f t="shared" si="47"/>
        <v>0</v>
      </c>
      <c r="B109" s="10">
        <f t="shared" si="48"/>
        <v>0</v>
      </c>
      <c r="C109" s="292">
        <f t="shared" si="49"/>
        <v>0</v>
      </c>
      <c r="D109" s="292">
        <f t="shared" si="49"/>
        <v>0</v>
      </c>
      <c r="E109" s="292">
        <f t="shared" si="49"/>
        <v>0</v>
      </c>
      <c r="F109" s="292">
        <f t="shared" si="49"/>
        <v>0</v>
      </c>
      <c r="G109" s="292">
        <f t="shared" si="49"/>
        <v>0</v>
      </c>
      <c r="H109" s="292">
        <f t="shared" si="49"/>
        <v>0</v>
      </c>
    </row>
    <row r="110" spans="1:9">
      <c r="A110" s="10">
        <f t="shared" si="47"/>
        <v>0</v>
      </c>
      <c r="B110" s="10">
        <f t="shared" si="48"/>
        <v>0</v>
      </c>
      <c r="C110" s="292">
        <f t="shared" si="49"/>
        <v>0</v>
      </c>
      <c r="D110" s="292">
        <f t="shared" si="49"/>
        <v>0</v>
      </c>
      <c r="E110" s="292">
        <f t="shared" si="49"/>
        <v>0</v>
      </c>
      <c r="F110" s="292">
        <f t="shared" si="49"/>
        <v>0</v>
      </c>
      <c r="G110" s="292">
        <f t="shared" si="49"/>
        <v>0</v>
      </c>
      <c r="H110" s="292">
        <f t="shared" si="49"/>
        <v>0</v>
      </c>
    </row>
    <row r="111" spans="1:9">
      <c r="A111" s="10" t="str">
        <f t="shared" si="47"/>
        <v>Onion</v>
      </c>
      <c r="B111" s="10">
        <f t="shared" ref="B111:B118" si="51">D24*$B$100</f>
        <v>0</v>
      </c>
      <c r="C111" s="292">
        <f t="shared" si="49"/>
        <v>0</v>
      </c>
      <c r="D111" s="292">
        <f t="shared" si="49"/>
        <v>0</v>
      </c>
      <c r="E111" s="292">
        <f t="shared" si="49"/>
        <v>0</v>
      </c>
      <c r="F111" s="292">
        <f t="shared" si="49"/>
        <v>0</v>
      </c>
      <c r="G111" s="292">
        <f t="shared" si="49"/>
        <v>0</v>
      </c>
      <c r="H111" s="292">
        <f t="shared" si="49"/>
        <v>0</v>
      </c>
    </row>
    <row r="112" spans="1:9">
      <c r="A112" s="10" t="str">
        <f t="shared" si="47"/>
        <v>Tomato</v>
      </c>
      <c r="B112" s="10">
        <f t="shared" si="51"/>
        <v>0</v>
      </c>
      <c r="C112" s="292">
        <f t="shared" si="49"/>
        <v>0</v>
      </c>
      <c r="D112" s="292">
        <f t="shared" si="49"/>
        <v>0</v>
      </c>
      <c r="E112" s="292">
        <f t="shared" si="49"/>
        <v>0</v>
      </c>
      <c r="F112" s="292">
        <f t="shared" si="49"/>
        <v>0</v>
      </c>
      <c r="G112" s="292">
        <f t="shared" si="49"/>
        <v>0</v>
      </c>
      <c r="H112" s="292">
        <f t="shared" si="49"/>
        <v>0</v>
      </c>
    </row>
    <row r="113" spans="1:9">
      <c r="A113" s="10" t="str">
        <f t="shared" si="47"/>
        <v>Okra</v>
      </c>
      <c r="B113" s="10">
        <f t="shared" si="51"/>
        <v>0</v>
      </c>
      <c r="C113" s="292">
        <f t="shared" si="49"/>
        <v>0</v>
      </c>
      <c r="D113" s="292">
        <f t="shared" si="49"/>
        <v>0</v>
      </c>
      <c r="E113" s="292">
        <f t="shared" si="49"/>
        <v>0</v>
      </c>
      <c r="F113" s="292">
        <f t="shared" si="49"/>
        <v>0</v>
      </c>
      <c r="G113" s="292">
        <f t="shared" si="49"/>
        <v>0</v>
      </c>
      <c r="H113" s="292">
        <f t="shared" si="49"/>
        <v>0</v>
      </c>
    </row>
    <row r="114" spans="1:9">
      <c r="A114" s="10" t="str">
        <f t="shared" si="47"/>
        <v>Chilli</v>
      </c>
      <c r="B114" s="10">
        <f t="shared" si="51"/>
        <v>0</v>
      </c>
      <c r="C114" s="292">
        <f t="shared" si="49"/>
        <v>0</v>
      </c>
      <c r="D114" s="292">
        <f t="shared" si="49"/>
        <v>0</v>
      </c>
      <c r="E114" s="292">
        <f t="shared" si="49"/>
        <v>0</v>
      </c>
      <c r="F114" s="292">
        <f t="shared" si="49"/>
        <v>0</v>
      </c>
      <c r="G114" s="292">
        <f t="shared" si="49"/>
        <v>0</v>
      </c>
      <c r="H114" s="292">
        <f t="shared" si="49"/>
        <v>0</v>
      </c>
    </row>
    <row r="115" spans="1:9">
      <c r="A115" s="10" t="str">
        <f t="shared" si="47"/>
        <v>Brinjal</v>
      </c>
      <c r="B115" s="10">
        <f t="shared" si="51"/>
        <v>0</v>
      </c>
      <c r="C115" s="292">
        <f t="shared" si="49"/>
        <v>0</v>
      </c>
      <c r="D115" s="292">
        <f t="shared" si="49"/>
        <v>0</v>
      </c>
      <c r="E115" s="292">
        <f t="shared" si="49"/>
        <v>0</v>
      </c>
      <c r="F115" s="292">
        <f t="shared" si="49"/>
        <v>0</v>
      </c>
      <c r="G115" s="292">
        <f t="shared" si="49"/>
        <v>0</v>
      </c>
      <c r="H115" s="292">
        <f t="shared" si="49"/>
        <v>0</v>
      </c>
    </row>
    <row r="116" spans="1:9">
      <c r="A116" s="10">
        <f t="shared" si="47"/>
        <v>0</v>
      </c>
      <c r="B116" s="10">
        <f t="shared" si="51"/>
        <v>0</v>
      </c>
      <c r="C116" s="292">
        <f t="shared" si="49"/>
        <v>0</v>
      </c>
      <c r="D116" s="292">
        <f t="shared" si="49"/>
        <v>0</v>
      </c>
      <c r="E116" s="292">
        <f t="shared" si="49"/>
        <v>0</v>
      </c>
      <c r="F116" s="292">
        <f t="shared" si="49"/>
        <v>0</v>
      </c>
      <c r="G116" s="292">
        <f t="shared" si="49"/>
        <v>0</v>
      </c>
      <c r="H116" s="292">
        <f t="shared" si="49"/>
        <v>0</v>
      </c>
    </row>
    <row r="117" spans="1:9">
      <c r="A117" s="10">
        <f t="shared" si="47"/>
        <v>0</v>
      </c>
      <c r="B117" s="10">
        <f t="shared" si="51"/>
        <v>0</v>
      </c>
      <c r="C117" s="292">
        <f t="shared" si="49"/>
        <v>0</v>
      </c>
      <c r="D117" s="292">
        <f t="shared" si="49"/>
        <v>0</v>
      </c>
      <c r="E117" s="292">
        <f t="shared" si="49"/>
        <v>0</v>
      </c>
      <c r="F117" s="292">
        <f t="shared" si="49"/>
        <v>0</v>
      </c>
      <c r="G117" s="292">
        <f t="shared" si="49"/>
        <v>0</v>
      </c>
      <c r="H117" s="292">
        <f t="shared" si="49"/>
        <v>0</v>
      </c>
    </row>
    <row r="118" spans="1:9">
      <c r="A118" s="10">
        <f t="shared" si="47"/>
        <v>0</v>
      </c>
      <c r="B118" s="10">
        <f t="shared" si="51"/>
        <v>0</v>
      </c>
      <c r="C118" s="292">
        <f t="shared" ref="C118:H126" si="52">(B118/B$100)*C$100</f>
        <v>0</v>
      </c>
      <c r="D118" s="292">
        <f t="shared" si="52"/>
        <v>0</v>
      </c>
      <c r="E118" s="292">
        <f t="shared" si="52"/>
        <v>0</v>
      </c>
      <c r="F118" s="292">
        <f t="shared" si="52"/>
        <v>0</v>
      </c>
      <c r="G118" s="292">
        <f t="shared" si="52"/>
        <v>0</v>
      </c>
      <c r="H118" s="292">
        <f t="shared" si="52"/>
        <v>0</v>
      </c>
    </row>
    <row r="119" spans="1:9">
      <c r="A119" s="10">
        <f t="shared" si="47"/>
        <v>0</v>
      </c>
      <c r="B119" s="10">
        <f t="shared" ref="B119:B126" si="53">D33*$B$100</f>
        <v>0</v>
      </c>
      <c r="C119" s="292">
        <f t="shared" si="52"/>
        <v>0</v>
      </c>
      <c r="D119" s="292">
        <f t="shared" si="52"/>
        <v>0</v>
      </c>
      <c r="E119" s="292">
        <f t="shared" si="52"/>
        <v>0</v>
      </c>
      <c r="F119" s="292">
        <f t="shared" si="52"/>
        <v>0</v>
      </c>
      <c r="G119" s="292">
        <f t="shared" si="52"/>
        <v>0</v>
      </c>
      <c r="H119" s="292">
        <f t="shared" si="52"/>
        <v>0</v>
      </c>
    </row>
    <row r="120" spans="1:9">
      <c r="A120" s="10">
        <f t="shared" si="47"/>
        <v>0</v>
      </c>
      <c r="B120" s="10">
        <f t="shared" si="53"/>
        <v>0</v>
      </c>
      <c r="C120" s="292">
        <f t="shared" si="52"/>
        <v>0</v>
      </c>
      <c r="D120" s="292">
        <f t="shared" ref="D120:D122" si="54">(C120/C$100)*D$100</f>
        <v>0</v>
      </c>
      <c r="E120" s="292">
        <f t="shared" ref="E120:E122" si="55">(D120/D$100)*E$100</f>
        <v>0</v>
      </c>
      <c r="F120" s="292">
        <f t="shared" ref="F120:F122" si="56">(E120/E$100)*F$100</f>
        <v>0</v>
      </c>
      <c r="G120" s="292">
        <f t="shared" ref="G120:G122" si="57">(F120/F$100)*G$100</f>
        <v>0</v>
      </c>
      <c r="H120" s="292">
        <f t="shared" si="52"/>
        <v>0</v>
      </c>
    </row>
    <row r="121" spans="1:9">
      <c r="A121" s="10">
        <f t="shared" si="47"/>
        <v>0</v>
      </c>
      <c r="B121" s="10">
        <f t="shared" si="53"/>
        <v>0</v>
      </c>
      <c r="C121" s="292">
        <f t="shared" si="52"/>
        <v>0</v>
      </c>
      <c r="D121" s="292">
        <f t="shared" si="54"/>
        <v>0</v>
      </c>
      <c r="E121" s="292">
        <f t="shared" si="55"/>
        <v>0</v>
      </c>
      <c r="F121" s="292">
        <f t="shared" si="56"/>
        <v>0</v>
      </c>
      <c r="G121" s="292">
        <f t="shared" si="57"/>
        <v>0</v>
      </c>
      <c r="H121" s="292">
        <f t="shared" si="52"/>
        <v>0</v>
      </c>
    </row>
    <row r="122" spans="1:9">
      <c r="A122" s="10">
        <f t="shared" si="47"/>
        <v>0</v>
      </c>
      <c r="B122" s="10">
        <f t="shared" si="53"/>
        <v>0</v>
      </c>
      <c r="C122" s="292">
        <f t="shared" si="52"/>
        <v>0</v>
      </c>
      <c r="D122" s="292">
        <f t="shared" si="54"/>
        <v>0</v>
      </c>
      <c r="E122" s="292">
        <f t="shared" si="55"/>
        <v>0</v>
      </c>
      <c r="F122" s="292">
        <f t="shared" si="56"/>
        <v>0</v>
      </c>
      <c r="G122" s="292">
        <f t="shared" si="57"/>
        <v>0</v>
      </c>
      <c r="H122" s="292">
        <f t="shared" si="52"/>
        <v>0</v>
      </c>
    </row>
    <row r="123" spans="1:9">
      <c r="A123" s="10" t="str">
        <f t="shared" si="47"/>
        <v>Pomegranate</v>
      </c>
      <c r="B123" s="10">
        <f t="shared" si="53"/>
        <v>0</v>
      </c>
      <c r="C123" s="292">
        <f t="shared" si="52"/>
        <v>0</v>
      </c>
      <c r="D123" s="292">
        <f t="shared" si="52"/>
        <v>0</v>
      </c>
      <c r="E123" s="292">
        <f t="shared" si="52"/>
        <v>0</v>
      </c>
      <c r="F123" s="292">
        <f t="shared" si="52"/>
        <v>0</v>
      </c>
      <c r="G123" s="292">
        <f t="shared" si="52"/>
        <v>0</v>
      </c>
      <c r="H123" s="292">
        <f t="shared" si="52"/>
        <v>0</v>
      </c>
    </row>
    <row r="124" spans="1:9">
      <c r="A124" s="10" t="str">
        <f t="shared" si="47"/>
        <v>Custard Apple</v>
      </c>
      <c r="B124" s="10">
        <f t="shared" si="53"/>
        <v>0</v>
      </c>
      <c r="C124" s="292">
        <f t="shared" si="52"/>
        <v>0</v>
      </c>
      <c r="D124" s="292">
        <f t="shared" ref="D124" si="58">(C124/C$100)*D$100</f>
        <v>0</v>
      </c>
      <c r="E124" s="292">
        <f t="shared" ref="E124" si="59">(D124/D$100)*E$100</f>
        <v>0</v>
      </c>
      <c r="F124" s="292">
        <f t="shared" ref="F124" si="60">(E124/E$100)*F$100</f>
        <v>0</v>
      </c>
      <c r="G124" s="292">
        <f t="shared" ref="G124" si="61">(F124/F$100)*G$100</f>
        <v>0</v>
      </c>
      <c r="H124" s="292">
        <f t="shared" si="52"/>
        <v>0</v>
      </c>
    </row>
    <row r="125" spans="1:9">
      <c r="A125" s="10" t="str">
        <f t="shared" si="47"/>
        <v>Guava</v>
      </c>
      <c r="B125" s="10">
        <f t="shared" si="53"/>
        <v>0</v>
      </c>
      <c r="C125" s="292">
        <f t="shared" si="52"/>
        <v>0</v>
      </c>
      <c r="D125" s="292">
        <f t="shared" si="52"/>
        <v>0</v>
      </c>
      <c r="E125" s="292">
        <f t="shared" si="52"/>
        <v>0</v>
      </c>
      <c r="F125" s="292">
        <f t="shared" si="52"/>
        <v>0</v>
      </c>
      <c r="G125" s="292">
        <f t="shared" si="52"/>
        <v>0</v>
      </c>
      <c r="H125" s="292">
        <f t="shared" si="52"/>
        <v>0</v>
      </c>
    </row>
    <row r="126" spans="1:9">
      <c r="A126" s="10" t="str">
        <f t="shared" si="47"/>
        <v>Citrus</v>
      </c>
      <c r="B126" s="10">
        <f t="shared" si="53"/>
        <v>0</v>
      </c>
      <c r="C126" s="292">
        <f t="shared" si="52"/>
        <v>0</v>
      </c>
      <c r="D126" s="292">
        <f t="shared" si="52"/>
        <v>0</v>
      </c>
      <c r="E126" s="292">
        <f t="shared" si="52"/>
        <v>0</v>
      </c>
      <c r="F126" s="292">
        <f t="shared" si="52"/>
        <v>0</v>
      </c>
      <c r="G126" s="292">
        <f t="shared" si="52"/>
        <v>0</v>
      </c>
      <c r="H126" s="292">
        <f t="shared" si="52"/>
        <v>0</v>
      </c>
    </row>
    <row r="128" spans="1:9">
      <c r="C128" s="4"/>
      <c r="D128" s="6"/>
      <c r="E128" s="6"/>
      <c r="F128" s="6"/>
      <c r="G128" s="6"/>
      <c r="H128" s="6"/>
      <c r="I128" s="6"/>
    </row>
    <row r="129" spans="1:9">
      <c r="A129" t="s">
        <v>543</v>
      </c>
      <c r="C129" s="302"/>
      <c r="D129" s="302"/>
      <c r="E129" s="302"/>
      <c r="F129" s="302"/>
      <c r="G129" s="302"/>
      <c r="H129" s="302"/>
      <c r="I129" s="302"/>
    </row>
    <row r="130" spans="1:9">
      <c r="A130">
        <v>1</v>
      </c>
      <c r="B130" t="s">
        <v>544</v>
      </c>
    </row>
    <row r="131" spans="1:9">
      <c r="A131">
        <v>2</v>
      </c>
      <c r="B131" t="s">
        <v>545</v>
      </c>
    </row>
    <row r="132" spans="1:9">
      <c r="A132">
        <v>3</v>
      </c>
      <c r="B132" t="s">
        <v>546</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0866141732283472" right="0.70866141732283472" top="0.74803149606299213" bottom="0.74803149606299213" header="0.31496062992125984" footer="0.31496062992125984"/>
  <pageSetup scale="59" orientation="landscape" r:id="rId1"/>
  <rowBreaks count="2" manualBreakCount="2">
    <brk id="41" max="25" man="1"/>
    <brk id="98" max="2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80" zoomScaleSheetLayoutView="80" workbookViewId="0">
      <selection activeCell="B5" sqref="B5"/>
    </sheetView>
  </sheetViews>
  <sheetFormatPr defaultRowHeight="15"/>
  <cols>
    <col min="1" max="1" width="42.42578125" bestFit="1" customWidth="1"/>
    <col min="2" max="2" width="23.42578125" customWidth="1"/>
    <col min="3" max="3" width="13.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414" t="s">
        <v>571</v>
      </c>
      <c r="B2" s="414"/>
      <c r="C2" s="414"/>
      <c r="D2" s="414"/>
      <c r="E2" s="414"/>
      <c r="F2" s="414"/>
      <c r="G2" s="414"/>
      <c r="H2" s="414"/>
    </row>
    <row r="3" spans="1:8" ht="18.75">
      <c r="A3" s="414" t="s">
        <v>572</v>
      </c>
      <c r="B3" s="414"/>
      <c r="C3" s="414"/>
      <c r="D3" s="414"/>
      <c r="E3" s="414"/>
      <c r="F3" s="414"/>
      <c r="G3" s="414"/>
      <c r="H3" s="414"/>
    </row>
    <row r="4" spans="1:8">
      <c r="B4" s="93"/>
      <c r="C4" s="93"/>
      <c r="D4" s="93"/>
      <c r="E4" s="93"/>
      <c r="F4" s="415" t="s">
        <v>479</v>
      </c>
      <c r="G4" s="415"/>
      <c r="H4" s="415"/>
    </row>
    <row r="5" spans="1:8">
      <c r="A5" s="93" t="s">
        <v>159</v>
      </c>
      <c r="B5" s="240">
        <v>100</v>
      </c>
      <c r="C5" s="93" t="s">
        <v>455</v>
      </c>
      <c r="D5" s="93"/>
      <c r="E5" s="93"/>
      <c r="F5" s="277" t="s">
        <v>480</v>
      </c>
      <c r="G5" s="277" t="s">
        <v>481</v>
      </c>
      <c r="H5" s="93"/>
    </row>
    <row r="6" spans="1:8">
      <c r="A6" s="93" t="s">
        <v>160</v>
      </c>
      <c r="B6" s="267">
        <v>8</v>
      </c>
      <c r="C6" s="93"/>
      <c r="D6" s="93"/>
      <c r="E6" s="93"/>
      <c r="F6" s="10" t="s">
        <v>477</v>
      </c>
      <c r="G6" s="310">
        <v>0.03</v>
      </c>
      <c r="H6" s="93"/>
    </row>
    <row r="7" spans="1:8">
      <c r="A7" s="93"/>
      <c r="B7" s="93"/>
      <c r="C7" s="93"/>
      <c r="D7" s="93"/>
      <c r="E7" s="93"/>
      <c r="F7" s="10" t="s">
        <v>478</v>
      </c>
      <c r="G7" s="310">
        <v>0.05</v>
      </c>
      <c r="H7" s="93"/>
    </row>
    <row r="8" spans="1:8">
      <c r="A8" s="93" t="s">
        <v>518</v>
      </c>
      <c r="B8" s="93">
        <v>300</v>
      </c>
      <c r="C8" s="93"/>
      <c r="D8" s="93"/>
      <c r="E8" s="93"/>
      <c r="F8" s="10"/>
      <c r="G8" s="310"/>
      <c r="H8" s="93"/>
    </row>
    <row r="9" spans="1:8">
      <c r="A9" s="147" t="s">
        <v>0</v>
      </c>
      <c r="B9" s="119" t="s">
        <v>2</v>
      </c>
      <c r="C9" s="119" t="s">
        <v>3</v>
      </c>
      <c r="D9" s="119" t="s">
        <v>4</v>
      </c>
      <c r="E9" s="119" t="s">
        <v>5</v>
      </c>
      <c r="F9" s="119" t="s">
        <v>6</v>
      </c>
      <c r="G9" s="119" t="s">
        <v>167</v>
      </c>
      <c r="H9" s="119" t="s">
        <v>166</v>
      </c>
    </row>
    <row r="10" spans="1:8">
      <c r="A10" s="94" t="s">
        <v>454</v>
      </c>
      <c r="B10" s="286">
        <f>B33/($B$5*$B$6)</f>
        <v>14.258811374999999</v>
      </c>
      <c r="C10" s="286">
        <f t="shared" ref="C10:H10" si="0">C33/($B$5*$B$6)</f>
        <v>16.635279937499998</v>
      </c>
      <c r="D10" s="286">
        <f t="shared" si="0"/>
        <v>19.011748499999999</v>
      </c>
      <c r="E10" s="286">
        <f t="shared" si="0"/>
        <v>21.388217062499997</v>
      </c>
      <c r="F10" s="286">
        <f t="shared" si="0"/>
        <v>23.764685624999998</v>
      </c>
      <c r="G10" s="286">
        <f t="shared" si="0"/>
        <v>26.141154187499996</v>
      </c>
      <c r="H10" s="286">
        <f t="shared" si="0"/>
        <v>28.517622749999997</v>
      </c>
    </row>
    <row r="11" spans="1:8">
      <c r="A11" s="200" t="str">
        <f>'10.Grain Production details'!A42</f>
        <v>Soybean</v>
      </c>
      <c r="B11" s="200">
        <f>'10.Grain Production details'!B42</f>
        <v>2466.2879999999996</v>
      </c>
      <c r="C11" s="200">
        <f>'10.Grain Production details'!C42</f>
        <v>2877.3359999999993</v>
      </c>
      <c r="D11" s="200">
        <f>'10.Grain Production details'!D42</f>
        <v>3288.3839999999996</v>
      </c>
      <c r="E11" s="200">
        <f>'10.Grain Production details'!E42</f>
        <v>3699.4319999999993</v>
      </c>
      <c r="F11" s="200">
        <f>'10.Grain Production details'!F42</f>
        <v>4110.4799999999987</v>
      </c>
      <c r="G11" s="200">
        <f>'10.Grain Production details'!G42</f>
        <v>4521.5279999999993</v>
      </c>
      <c r="H11" s="200">
        <f>'10.Grain Production details'!H42</f>
        <v>4932.5759999999991</v>
      </c>
    </row>
    <row r="12" spans="1:8">
      <c r="A12" s="200" t="str">
        <f>'10.Grain Production details'!A43</f>
        <v>Tur</v>
      </c>
      <c r="B12" s="200">
        <f>'10.Grain Production details'!B43</f>
        <v>295.83</v>
      </c>
      <c r="C12" s="200">
        <f>'10.Grain Production details'!C43</f>
        <v>345.13499999999999</v>
      </c>
      <c r="D12" s="200">
        <f>'10.Grain Production details'!D43</f>
        <v>394.44</v>
      </c>
      <c r="E12" s="200">
        <f>'10.Grain Production details'!E43</f>
        <v>443.74499999999995</v>
      </c>
      <c r="F12" s="200">
        <f>'10.Grain Production details'!F43</f>
        <v>493.04999999999995</v>
      </c>
      <c r="G12" s="200">
        <f>'10.Grain Production details'!G43</f>
        <v>542.3549999999999</v>
      </c>
      <c r="H12" s="200">
        <f>'10.Grain Production details'!H43</f>
        <v>591.66</v>
      </c>
    </row>
    <row r="13" spans="1:8">
      <c r="A13" s="200" t="str">
        <f>'10.Grain Production details'!A44</f>
        <v>Turmeric</v>
      </c>
      <c r="B13" s="200">
        <f>'10.Grain Production details'!B44</f>
        <v>4192.6896000000006</v>
      </c>
      <c r="C13" s="200">
        <f>'10.Grain Production details'!C44</f>
        <v>4891.4712000000009</v>
      </c>
      <c r="D13" s="200">
        <f>'10.Grain Production details'!D44</f>
        <v>5590.2528000000011</v>
      </c>
      <c r="E13" s="200">
        <f>'10.Grain Production details'!E44</f>
        <v>6289.0344000000005</v>
      </c>
      <c r="F13" s="200">
        <f>'10.Grain Production details'!F44</f>
        <v>6987.8160000000007</v>
      </c>
      <c r="G13" s="200">
        <f>'10.Grain Production details'!G44</f>
        <v>7686.597600000001</v>
      </c>
      <c r="H13" s="200">
        <f>'10.Grain Production details'!H44</f>
        <v>8385.3792000000012</v>
      </c>
    </row>
    <row r="14" spans="1:8">
      <c r="A14" s="200" t="str">
        <f>'10.Grain Production details'!A45</f>
        <v>Moong</v>
      </c>
      <c r="B14" s="200">
        <f>'10.Grain Production details'!B45</f>
        <v>215.80020000000005</v>
      </c>
      <c r="C14" s="200">
        <f>'10.Grain Production details'!C45</f>
        <v>251.76690000000005</v>
      </c>
      <c r="D14" s="200">
        <f>'10.Grain Production details'!D45</f>
        <v>287.73360000000002</v>
      </c>
      <c r="E14" s="200">
        <f>'10.Grain Production details'!E45</f>
        <v>323.70030000000003</v>
      </c>
      <c r="F14" s="200">
        <f>'10.Grain Production details'!F45</f>
        <v>359.66700000000003</v>
      </c>
      <c r="G14" s="200">
        <f>'10.Grain Production details'!G45</f>
        <v>395.63370000000003</v>
      </c>
      <c r="H14" s="200">
        <f>'10.Grain Production details'!H45</f>
        <v>431.60040000000009</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Udid</v>
      </c>
      <c r="B16" s="200">
        <f>'10.Grain Production details'!B47</f>
        <v>246.62880000000001</v>
      </c>
      <c r="C16" s="200">
        <f>'10.Grain Production details'!C47</f>
        <v>287.73360000000002</v>
      </c>
      <c r="D16" s="200">
        <f>'10.Grain Production details'!D47</f>
        <v>328.83840000000004</v>
      </c>
      <c r="E16" s="200">
        <f>'10.Grain Production details'!E47</f>
        <v>369.94319999999999</v>
      </c>
      <c r="F16" s="200">
        <f>'10.Grain Production details'!F47</f>
        <v>411.04799999999994</v>
      </c>
      <c r="G16" s="200">
        <f>'10.Grain Production details'!G47</f>
        <v>452.15279999999996</v>
      </c>
      <c r="H16" s="200">
        <f>'10.Grain Production details'!H47</f>
        <v>493.25759999999997</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302.05799999999999</v>
      </c>
      <c r="C18" s="200">
        <f>'10.Grain Production details'!C49</f>
        <v>352.40100000000001</v>
      </c>
      <c r="D18" s="200">
        <f>'10.Grain Production details'!D49</f>
        <v>402.74400000000003</v>
      </c>
      <c r="E18" s="200">
        <f>'10.Grain Production details'!E49</f>
        <v>453.08699999999999</v>
      </c>
      <c r="F18" s="200">
        <f>'10.Grain Production details'!F49</f>
        <v>503.43</v>
      </c>
      <c r="G18" s="200">
        <f>'10.Grain Production details'!G49</f>
        <v>553.77300000000002</v>
      </c>
      <c r="H18" s="200">
        <f>'10.Grain Production details'!H49</f>
        <v>604.1160000000001</v>
      </c>
    </row>
    <row r="19" spans="1:8">
      <c r="A19" s="200" t="str">
        <f>'10.Grain Production details'!A50</f>
        <v>Channa</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798.74099999999976</v>
      </c>
      <c r="C20" s="200">
        <f>'10.Grain Production details'!C51</f>
        <v>931.86449999999968</v>
      </c>
      <c r="D20" s="200">
        <f>'10.Grain Production details'!D51</f>
        <v>1064.9879999999996</v>
      </c>
      <c r="E20" s="200">
        <f>'10.Grain Production details'!E51</f>
        <v>1198.1114999999995</v>
      </c>
      <c r="F20" s="200">
        <f>'10.Grain Production details'!F51</f>
        <v>1331.2349999999994</v>
      </c>
      <c r="G20" s="200">
        <f>'10.Grain Production details'!G51</f>
        <v>1464.3584999999994</v>
      </c>
      <c r="H20" s="200">
        <f>'10.Grain Production details'!H51</f>
        <v>1597.4819999999995</v>
      </c>
    </row>
    <row r="21" spans="1:8">
      <c r="A21" s="200" t="str">
        <f>'10.Grain Production details'!A52</f>
        <v>Channa</v>
      </c>
      <c r="B21" s="200">
        <f>'10.Grain Production details'!B52</f>
        <v>2484.9719999999998</v>
      </c>
      <c r="C21" s="200">
        <f>'10.Grain Production details'!C52</f>
        <v>2899.1339999999996</v>
      </c>
      <c r="D21" s="200">
        <f>'10.Grain Production details'!D52</f>
        <v>3313.2959999999998</v>
      </c>
      <c r="E21" s="200">
        <f>'10.Grain Production details'!E52</f>
        <v>3727.4579999999996</v>
      </c>
      <c r="F21" s="200">
        <f>'10.Grain Production details'!F52</f>
        <v>4141.619999999999</v>
      </c>
      <c r="G21" s="200">
        <f>'10.Grain Production details'!G52</f>
        <v>4555.7819999999992</v>
      </c>
      <c r="H21" s="200">
        <f>'10.Grain Production details'!H52</f>
        <v>4969.9439999999995</v>
      </c>
    </row>
    <row r="22" spans="1:8">
      <c r="A22" s="200" t="str">
        <f>'10.Grain Production details'!A53</f>
        <v>Jawar</v>
      </c>
      <c r="B22" s="200">
        <f>'10.Grain Production details'!B53</f>
        <v>289.97568000000001</v>
      </c>
      <c r="C22" s="200">
        <f>'10.Grain Production details'!C53</f>
        <v>338.30495999999999</v>
      </c>
      <c r="D22" s="200">
        <f>'10.Grain Production details'!D53</f>
        <v>386.63423999999998</v>
      </c>
      <c r="E22" s="200">
        <f>'10.Grain Production details'!E53</f>
        <v>434.96351999999996</v>
      </c>
      <c r="F22" s="200">
        <f>'10.Grain Production details'!F53</f>
        <v>483.29279999999994</v>
      </c>
      <c r="G22" s="200">
        <f>'10.Grain Production details'!G53</f>
        <v>531.62207999999998</v>
      </c>
      <c r="H22" s="200">
        <f>'10.Grain Production details'!H53</f>
        <v>579.95136000000002</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t="str">
        <f>'10.Grain Production details'!A56</f>
        <v>Groundnut</v>
      </c>
      <c r="B25" s="200">
        <f>'10.Grain Production details'!B56</f>
        <v>92.485799999999998</v>
      </c>
      <c r="C25" s="200">
        <f>'10.Grain Production details'!C56</f>
        <v>107.90009999999999</v>
      </c>
      <c r="D25" s="200">
        <f>'10.Grain Production details'!D56</f>
        <v>123.31439999999999</v>
      </c>
      <c r="E25" s="200">
        <f>'10.Grain Production details'!E56</f>
        <v>138.72869999999998</v>
      </c>
      <c r="F25" s="200">
        <f>'10.Grain Production details'!F56</f>
        <v>154.14299999999997</v>
      </c>
      <c r="G25" s="200">
        <f>'10.Grain Production details'!G56</f>
        <v>169.55729999999997</v>
      </c>
      <c r="H25" s="200">
        <f>'10.Grain Production details'!H56</f>
        <v>184.9716</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Soybean</v>
      </c>
      <c r="B28" s="200">
        <f>'10.Grain Production details'!B59</f>
        <v>21.580020000000005</v>
      </c>
      <c r="C28" s="200">
        <f>'10.Grain Production details'!C59</f>
        <v>25.176690000000004</v>
      </c>
      <c r="D28" s="200">
        <f>'10.Grain Production details'!D59</f>
        <v>28.773360000000007</v>
      </c>
      <c r="E28" s="200">
        <f>'10.Grain Production details'!E59</f>
        <v>32.370030000000007</v>
      </c>
      <c r="F28" s="200">
        <f>'10.Grain Production details'!F59</f>
        <v>35.966700000000003</v>
      </c>
      <c r="G28" s="200">
        <f>'10.Grain Production details'!G59</f>
        <v>39.563370000000006</v>
      </c>
      <c r="H28" s="200">
        <f>'10.Grain Production details'!H59</f>
        <v>43.160040000000009</v>
      </c>
    </row>
    <row r="29" spans="1:8">
      <c r="A29" s="200">
        <f>'10.Grain Production details'!A60</f>
        <v>0</v>
      </c>
      <c r="B29" s="200">
        <f>'10.Grain Production details'!B60</f>
        <v>0</v>
      </c>
      <c r="C29" s="200">
        <f>'10.Grain Production details'!C60</f>
        <v>0</v>
      </c>
      <c r="D29" s="200">
        <f>'10.Grain Production details'!D60</f>
        <v>0</v>
      </c>
      <c r="E29" s="200">
        <f>'10.Grain Production details'!E60</f>
        <v>0</v>
      </c>
      <c r="F29" s="200">
        <f>'10.Grain Production details'!F60</f>
        <v>0</v>
      </c>
      <c r="G29" s="200">
        <f>'10.Grain Production details'!G60</f>
        <v>0</v>
      </c>
      <c r="H29" s="200">
        <f>'10.Grain Production details'!H60</f>
        <v>0</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515</v>
      </c>
      <c r="B33" s="200">
        <f t="shared" ref="B33:H33" si="1">SUM(B11:B32)</f>
        <v>11407.049099999998</v>
      </c>
      <c r="C33" s="200">
        <f t="shared" si="1"/>
        <v>13308.22395</v>
      </c>
      <c r="D33" s="200">
        <f t="shared" si="1"/>
        <v>15209.398799999999</v>
      </c>
      <c r="E33" s="200">
        <f t="shared" si="1"/>
        <v>17110.573649999998</v>
      </c>
      <c r="F33" s="200">
        <f t="shared" si="1"/>
        <v>19011.748499999998</v>
      </c>
      <c r="G33" s="200">
        <f t="shared" si="1"/>
        <v>20912.923349999997</v>
      </c>
      <c r="H33" s="200">
        <f t="shared" si="1"/>
        <v>22814.098199999997</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514</v>
      </c>
      <c r="B61" s="200">
        <f t="shared" ref="B61:H61" si="2">SUM(B35:B59)</f>
        <v>0</v>
      </c>
      <c r="C61" s="200">
        <f t="shared" si="2"/>
        <v>0</v>
      </c>
      <c r="D61" s="200">
        <f t="shared" si="2"/>
        <v>0</v>
      </c>
      <c r="E61" s="200">
        <f t="shared" si="2"/>
        <v>0</v>
      </c>
      <c r="F61" s="200">
        <f t="shared" si="2"/>
        <v>0</v>
      </c>
      <c r="G61" s="200">
        <f t="shared" si="2"/>
        <v>0</v>
      </c>
      <c r="H61" s="200">
        <f t="shared" si="2"/>
        <v>0</v>
      </c>
    </row>
    <row r="62" spans="1:8">
      <c r="A62" s="268" t="s">
        <v>516</v>
      </c>
      <c r="B62" s="287">
        <v>0.4</v>
      </c>
      <c r="C62" s="287">
        <v>0.4</v>
      </c>
      <c r="D62" s="287">
        <v>0.4</v>
      </c>
      <c r="E62" s="287">
        <v>0.4</v>
      </c>
      <c r="F62" s="287">
        <v>0.4</v>
      </c>
      <c r="G62" s="287">
        <v>0.4</v>
      </c>
      <c r="H62" s="287">
        <v>0.4</v>
      </c>
    </row>
    <row r="63" spans="1:8">
      <c r="A63" s="268" t="s">
        <v>517</v>
      </c>
      <c r="B63" s="287">
        <f t="shared" ref="B63:H63" si="3">1-B62</f>
        <v>0.6</v>
      </c>
      <c r="C63" s="287">
        <f t="shared" si="3"/>
        <v>0.6</v>
      </c>
      <c r="D63" s="287">
        <f t="shared" si="3"/>
        <v>0.6</v>
      </c>
      <c r="E63" s="287">
        <f t="shared" si="3"/>
        <v>0.6</v>
      </c>
      <c r="F63" s="287">
        <f t="shared" si="3"/>
        <v>0.6</v>
      </c>
      <c r="G63" s="287">
        <f t="shared" si="3"/>
        <v>0.6</v>
      </c>
      <c r="H63" s="287">
        <f t="shared" si="3"/>
        <v>0.6</v>
      </c>
    </row>
    <row r="64" spans="1:8">
      <c r="A64" s="268"/>
      <c r="B64" s="287"/>
      <c r="C64" s="287"/>
      <c r="D64" s="287"/>
      <c r="E64" s="287"/>
      <c r="F64" s="287"/>
      <c r="G64" s="287"/>
      <c r="H64" s="287"/>
    </row>
    <row r="65" spans="1:8">
      <c r="A65" s="268" t="s">
        <v>163</v>
      </c>
      <c r="B65" s="269">
        <f t="shared" ref="B65:H65" si="4">B33*B62</f>
        <v>4562.8196399999997</v>
      </c>
      <c r="C65" s="269">
        <f t="shared" si="4"/>
        <v>5323.2895800000006</v>
      </c>
      <c r="D65" s="269">
        <f t="shared" si="4"/>
        <v>6083.7595199999996</v>
      </c>
      <c r="E65" s="269">
        <f t="shared" si="4"/>
        <v>6844.2294599999996</v>
      </c>
      <c r="F65" s="269">
        <f t="shared" si="4"/>
        <v>7604.6993999999995</v>
      </c>
      <c r="G65" s="269">
        <f t="shared" si="4"/>
        <v>8365.1693399999986</v>
      </c>
      <c r="H65" s="269">
        <f t="shared" si="4"/>
        <v>9125.6392799999994</v>
      </c>
    </row>
    <row r="66" spans="1:8">
      <c r="A66" s="96"/>
      <c r="B66" s="200"/>
      <c r="C66" s="200"/>
      <c r="D66" s="200"/>
      <c r="E66" s="200"/>
      <c r="F66" s="200"/>
      <c r="G66" s="200"/>
      <c r="H66" s="200"/>
    </row>
    <row r="67" spans="1:8">
      <c r="A67" s="96" t="s">
        <v>164</v>
      </c>
      <c r="B67" s="200"/>
      <c r="C67" s="200"/>
      <c r="D67" s="200"/>
      <c r="E67" s="200"/>
      <c r="F67" s="200"/>
      <c r="G67" s="200"/>
      <c r="H67" s="200"/>
    </row>
    <row r="68" spans="1:8">
      <c r="A68" s="94" t="str">
        <f t="shared" ref="A68:A89" si="5">A11</f>
        <v>Soybean</v>
      </c>
      <c r="B68" s="285">
        <f t="shared" ref="B68:B89" si="6">B11*$B$63</f>
        <v>1479.7727999999997</v>
      </c>
      <c r="C68" s="285">
        <f t="shared" ref="C68:C83" si="7">C11*$C$63</f>
        <v>1726.4015999999995</v>
      </c>
      <c r="D68" s="285">
        <f t="shared" ref="D68:D83" si="8">D11*$D$63</f>
        <v>1973.0303999999996</v>
      </c>
      <c r="E68" s="285">
        <f t="shared" ref="E68:E83" si="9">E11*$E$63</f>
        <v>2219.6591999999996</v>
      </c>
      <c r="F68" s="285">
        <f t="shared" ref="F68:F83" si="10">F11*$F$63</f>
        <v>2466.2879999999991</v>
      </c>
      <c r="G68" s="285">
        <f t="shared" ref="G68:G83" si="11">G11*$G$63</f>
        <v>2712.9167999999995</v>
      </c>
      <c r="H68" s="285">
        <f t="shared" ref="H68:H83" si="12">H11*$H$63</f>
        <v>2959.5455999999995</v>
      </c>
    </row>
    <row r="69" spans="1:8">
      <c r="A69" s="94" t="str">
        <f t="shared" si="5"/>
        <v>Tur</v>
      </c>
      <c r="B69" s="285">
        <f t="shared" si="6"/>
        <v>177.49799999999999</v>
      </c>
      <c r="C69" s="285">
        <f t="shared" si="7"/>
        <v>207.08099999999999</v>
      </c>
      <c r="D69" s="285">
        <f t="shared" si="8"/>
        <v>236.66399999999999</v>
      </c>
      <c r="E69" s="285">
        <f t="shared" si="9"/>
        <v>266.24699999999996</v>
      </c>
      <c r="F69" s="285">
        <f t="shared" si="10"/>
        <v>295.83</v>
      </c>
      <c r="G69" s="285">
        <f t="shared" si="11"/>
        <v>325.41299999999995</v>
      </c>
      <c r="H69" s="285">
        <f t="shared" si="12"/>
        <v>354.99599999999998</v>
      </c>
    </row>
    <row r="70" spans="1:8">
      <c r="A70" s="94" t="str">
        <f t="shared" si="5"/>
        <v>Turmeric</v>
      </c>
      <c r="B70" s="285">
        <f t="shared" si="6"/>
        <v>2515.6137600000002</v>
      </c>
      <c r="C70" s="285">
        <f t="shared" si="7"/>
        <v>2934.8827200000005</v>
      </c>
      <c r="D70" s="285">
        <f t="shared" si="8"/>
        <v>3354.1516800000004</v>
      </c>
      <c r="E70" s="285">
        <f t="shared" si="9"/>
        <v>3773.4206400000003</v>
      </c>
      <c r="F70" s="285">
        <f t="shared" si="10"/>
        <v>4192.6896000000006</v>
      </c>
      <c r="G70" s="285">
        <f t="shared" si="11"/>
        <v>4611.95856</v>
      </c>
      <c r="H70" s="285">
        <f t="shared" si="12"/>
        <v>5031.2275200000004</v>
      </c>
    </row>
    <row r="71" spans="1:8">
      <c r="A71" s="94" t="str">
        <f t="shared" si="5"/>
        <v>Moong</v>
      </c>
      <c r="B71" s="285">
        <f t="shared" si="6"/>
        <v>129.48012000000003</v>
      </c>
      <c r="C71" s="285">
        <f t="shared" si="7"/>
        <v>151.06014000000002</v>
      </c>
      <c r="D71" s="285">
        <f t="shared" si="8"/>
        <v>172.64016000000001</v>
      </c>
      <c r="E71" s="285">
        <f t="shared" si="9"/>
        <v>194.22018</v>
      </c>
      <c r="F71" s="285">
        <f t="shared" si="10"/>
        <v>215.80020000000002</v>
      </c>
      <c r="G71" s="285">
        <f t="shared" si="11"/>
        <v>237.38022000000001</v>
      </c>
      <c r="H71" s="285">
        <f t="shared" si="12"/>
        <v>258.96024000000006</v>
      </c>
    </row>
    <row r="72" spans="1:8">
      <c r="A72" s="94" t="str">
        <f t="shared" si="5"/>
        <v>Maize</v>
      </c>
      <c r="B72" s="285">
        <f t="shared" si="6"/>
        <v>0</v>
      </c>
      <c r="C72" s="285">
        <f t="shared" si="7"/>
        <v>0</v>
      </c>
      <c r="D72" s="285">
        <f t="shared" si="8"/>
        <v>0</v>
      </c>
      <c r="E72" s="285">
        <f t="shared" si="9"/>
        <v>0</v>
      </c>
      <c r="F72" s="285">
        <f t="shared" si="10"/>
        <v>0</v>
      </c>
      <c r="G72" s="285">
        <f t="shared" si="11"/>
        <v>0</v>
      </c>
      <c r="H72" s="285">
        <f t="shared" si="12"/>
        <v>0</v>
      </c>
    </row>
    <row r="73" spans="1:8">
      <c r="A73" s="94" t="str">
        <f t="shared" si="5"/>
        <v>Udid</v>
      </c>
      <c r="B73" s="285">
        <f t="shared" si="6"/>
        <v>147.97728000000001</v>
      </c>
      <c r="C73" s="285">
        <f t="shared" si="7"/>
        <v>172.64016000000001</v>
      </c>
      <c r="D73" s="285">
        <f t="shared" si="8"/>
        <v>197.30304000000001</v>
      </c>
      <c r="E73" s="285">
        <f t="shared" si="9"/>
        <v>221.96591999999998</v>
      </c>
      <c r="F73" s="285">
        <f t="shared" si="10"/>
        <v>246.62879999999996</v>
      </c>
      <c r="G73" s="285">
        <f t="shared" si="11"/>
        <v>271.29167999999999</v>
      </c>
      <c r="H73" s="285">
        <f t="shared" si="12"/>
        <v>295.95455999999996</v>
      </c>
    </row>
    <row r="74" spans="1:8">
      <c r="A74" s="94" t="str">
        <f t="shared" si="5"/>
        <v>Bajra</v>
      </c>
      <c r="B74" s="285">
        <f t="shared" si="6"/>
        <v>0</v>
      </c>
      <c r="C74" s="285">
        <f t="shared" si="7"/>
        <v>0</v>
      </c>
      <c r="D74" s="285">
        <f t="shared" si="8"/>
        <v>0</v>
      </c>
      <c r="E74" s="285">
        <f t="shared" si="9"/>
        <v>0</v>
      </c>
      <c r="F74" s="285">
        <f t="shared" si="10"/>
        <v>0</v>
      </c>
      <c r="G74" s="285">
        <f t="shared" si="11"/>
        <v>0</v>
      </c>
      <c r="H74" s="285">
        <f t="shared" si="12"/>
        <v>0</v>
      </c>
    </row>
    <row r="75" spans="1:8">
      <c r="A75" s="94" t="str">
        <f t="shared" si="5"/>
        <v>Jawar</v>
      </c>
      <c r="B75" s="285">
        <f t="shared" si="6"/>
        <v>181.23479999999998</v>
      </c>
      <c r="C75" s="285">
        <f t="shared" si="7"/>
        <v>211.44059999999999</v>
      </c>
      <c r="D75" s="285">
        <f t="shared" si="8"/>
        <v>241.6464</v>
      </c>
      <c r="E75" s="285">
        <f t="shared" si="9"/>
        <v>271.85219999999998</v>
      </c>
      <c r="F75" s="285">
        <f t="shared" si="10"/>
        <v>302.05799999999999</v>
      </c>
      <c r="G75" s="285">
        <f t="shared" si="11"/>
        <v>332.2638</v>
      </c>
      <c r="H75" s="285">
        <f t="shared" si="12"/>
        <v>362.46960000000007</v>
      </c>
    </row>
    <row r="76" spans="1:8">
      <c r="A76" s="94" t="str">
        <f t="shared" si="5"/>
        <v>Channa</v>
      </c>
      <c r="B76" s="285">
        <f t="shared" si="6"/>
        <v>0</v>
      </c>
      <c r="C76" s="285">
        <f t="shared" si="7"/>
        <v>0</v>
      </c>
      <c r="D76" s="285">
        <f t="shared" si="8"/>
        <v>0</v>
      </c>
      <c r="E76" s="285">
        <f t="shared" si="9"/>
        <v>0</v>
      </c>
      <c r="F76" s="285">
        <f t="shared" si="10"/>
        <v>0</v>
      </c>
      <c r="G76" s="285">
        <f t="shared" si="11"/>
        <v>0</v>
      </c>
      <c r="H76" s="285">
        <f t="shared" si="12"/>
        <v>0</v>
      </c>
    </row>
    <row r="77" spans="1:8">
      <c r="A77" s="94" t="str">
        <f t="shared" si="5"/>
        <v>Wheat</v>
      </c>
      <c r="B77" s="285">
        <f t="shared" si="6"/>
        <v>479.24459999999982</v>
      </c>
      <c r="C77" s="285">
        <f t="shared" si="7"/>
        <v>559.11869999999976</v>
      </c>
      <c r="D77" s="285">
        <f t="shared" si="8"/>
        <v>638.99279999999976</v>
      </c>
      <c r="E77" s="285">
        <f t="shared" si="9"/>
        <v>718.86689999999965</v>
      </c>
      <c r="F77" s="285">
        <f t="shared" si="10"/>
        <v>798.74099999999964</v>
      </c>
      <c r="G77" s="285">
        <f t="shared" si="11"/>
        <v>878.61509999999964</v>
      </c>
      <c r="H77" s="285">
        <f t="shared" si="12"/>
        <v>958.48919999999964</v>
      </c>
    </row>
    <row r="78" spans="1:8">
      <c r="A78" s="94" t="str">
        <f t="shared" si="5"/>
        <v>Channa</v>
      </c>
      <c r="B78" s="285">
        <f t="shared" si="6"/>
        <v>1490.9831999999999</v>
      </c>
      <c r="C78" s="285">
        <f t="shared" si="7"/>
        <v>1739.4803999999997</v>
      </c>
      <c r="D78" s="285">
        <f t="shared" si="8"/>
        <v>1987.9775999999997</v>
      </c>
      <c r="E78" s="285">
        <f t="shared" si="9"/>
        <v>2236.4747999999995</v>
      </c>
      <c r="F78" s="285">
        <f t="shared" si="10"/>
        <v>2484.9719999999993</v>
      </c>
      <c r="G78" s="285">
        <f t="shared" si="11"/>
        <v>2733.4691999999995</v>
      </c>
      <c r="H78" s="285">
        <f t="shared" si="12"/>
        <v>2981.9663999999998</v>
      </c>
    </row>
    <row r="79" spans="1:8">
      <c r="A79" s="94" t="str">
        <f t="shared" si="5"/>
        <v>Jawar</v>
      </c>
      <c r="B79" s="285">
        <f t="shared" si="6"/>
        <v>173.98540800000001</v>
      </c>
      <c r="C79" s="285">
        <f t="shared" si="7"/>
        <v>202.98297599999998</v>
      </c>
      <c r="D79" s="285">
        <f t="shared" si="8"/>
        <v>231.98054399999998</v>
      </c>
      <c r="E79" s="285">
        <f t="shared" si="9"/>
        <v>260.97811199999995</v>
      </c>
      <c r="F79" s="285">
        <f t="shared" si="10"/>
        <v>289.97567999999995</v>
      </c>
      <c r="G79" s="285">
        <f t="shared" si="11"/>
        <v>318.97324799999996</v>
      </c>
      <c r="H79" s="285">
        <f t="shared" si="12"/>
        <v>347.97081600000001</v>
      </c>
    </row>
    <row r="80" spans="1:8">
      <c r="A80" s="94" t="str">
        <f t="shared" si="5"/>
        <v>Maize</v>
      </c>
      <c r="B80" s="285">
        <f t="shared" si="6"/>
        <v>0</v>
      </c>
      <c r="C80" s="285">
        <f t="shared" si="7"/>
        <v>0</v>
      </c>
      <c r="D80" s="285">
        <f t="shared" si="8"/>
        <v>0</v>
      </c>
      <c r="E80" s="285">
        <f t="shared" si="9"/>
        <v>0</v>
      </c>
      <c r="F80" s="285">
        <f t="shared" si="10"/>
        <v>0</v>
      </c>
      <c r="G80" s="285">
        <f t="shared" si="11"/>
        <v>0</v>
      </c>
      <c r="H80" s="285">
        <f t="shared" si="12"/>
        <v>0</v>
      </c>
    </row>
    <row r="81" spans="1:12">
      <c r="A81" s="94" t="str">
        <f t="shared" si="5"/>
        <v>Safflower</v>
      </c>
      <c r="B81" s="285">
        <f t="shared" si="6"/>
        <v>0</v>
      </c>
      <c r="C81" s="285">
        <f t="shared" si="7"/>
        <v>0</v>
      </c>
      <c r="D81" s="285">
        <f t="shared" si="8"/>
        <v>0</v>
      </c>
      <c r="E81" s="285">
        <f t="shared" si="9"/>
        <v>0</v>
      </c>
      <c r="F81" s="285">
        <f t="shared" si="10"/>
        <v>0</v>
      </c>
      <c r="G81" s="285">
        <f t="shared" si="11"/>
        <v>0</v>
      </c>
      <c r="H81" s="285">
        <f t="shared" si="12"/>
        <v>0</v>
      </c>
    </row>
    <row r="82" spans="1:12">
      <c r="A82" s="94" t="str">
        <f t="shared" si="5"/>
        <v>Groundnut</v>
      </c>
      <c r="B82" s="285">
        <f t="shared" si="6"/>
        <v>55.491479999999996</v>
      </c>
      <c r="C82" s="285">
        <f t="shared" si="7"/>
        <v>64.74006</v>
      </c>
      <c r="D82" s="285">
        <f t="shared" si="8"/>
        <v>73.98863999999999</v>
      </c>
      <c r="E82" s="285">
        <f t="shared" si="9"/>
        <v>83.237219999999979</v>
      </c>
      <c r="F82" s="285">
        <f t="shared" si="10"/>
        <v>92.485799999999983</v>
      </c>
      <c r="G82" s="285">
        <f t="shared" si="11"/>
        <v>101.73437999999997</v>
      </c>
      <c r="H82" s="285">
        <f t="shared" si="12"/>
        <v>110.98295999999999</v>
      </c>
    </row>
    <row r="83" spans="1:12">
      <c r="A83" s="94">
        <f t="shared" si="5"/>
        <v>0</v>
      </c>
      <c r="B83" s="285">
        <f t="shared" si="6"/>
        <v>0</v>
      </c>
      <c r="C83" s="285">
        <f t="shared" si="7"/>
        <v>0</v>
      </c>
      <c r="D83" s="285">
        <f t="shared" si="8"/>
        <v>0</v>
      </c>
      <c r="E83" s="285">
        <f t="shared" si="9"/>
        <v>0</v>
      </c>
      <c r="F83" s="285">
        <f t="shared" si="10"/>
        <v>0</v>
      </c>
      <c r="G83" s="285">
        <f t="shared" si="11"/>
        <v>0</v>
      </c>
      <c r="H83" s="285">
        <f t="shared" si="12"/>
        <v>0</v>
      </c>
    </row>
    <row r="84" spans="1:12">
      <c r="A84" s="94">
        <f t="shared" si="5"/>
        <v>0</v>
      </c>
      <c r="B84" s="285">
        <f t="shared" si="6"/>
        <v>0</v>
      </c>
      <c r="C84" s="285">
        <f t="shared" ref="C84:H89" si="13">C27*$B$63</f>
        <v>0</v>
      </c>
      <c r="D84" s="285">
        <f t="shared" si="13"/>
        <v>0</v>
      </c>
      <c r="E84" s="285">
        <f t="shared" si="13"/>
        <v>0</v>
      </c>
      <c r="F84" s="285">
        <f t="shared" si="13"/>
        <v>0</v>
      </c>
      <c r="G84" s="285">
        <f t="shared" si="13"/>
        <v>0</v>
      </c>
      <c r="H84" s="285">
        <f t="shared" si="13"/>
        <v>0</v>
      </c>
    </row>
    <row r="85" spans="1:12">
      <c r="A85" s="94" t="str">
        <f t="shared" si="5"/>
        <v>Soybean</v>
      </c>
      <c r="B85" s="285">
        <f t="shared" si="6"/>
        <v>12.948012000000002</v>
      </c>
      <c r="C85" s="285">
        <f t="shared" si="13"/>
        <v>15.106014000000002</v>
      </c>
      <c r="D85" s="285">
        <f t="shared" si="13"/>
        <v>17.264016000000005</v>
      </c>
      <c r="E85" s="285">
        <f t="shared" si="13"/>
        <v>19.422018000000005</v>
      </c>
      <c r="F85" s="285">
        <f t="shared" si="13"/>
        <v>21.580020000000001</v>
      </c>
      <c r="G85" s="285">
        <f t="shared" si="13"/>
        <v>23.738022000000004</v>
      </c>
      <c r="H85" s="285">
        <f t="shared" si="13"/>
        <v>25.896024000000004</v>
      </c>
    </row>
    <row r="86" spans="1:12">
      <c r="A86" s="94">
        <f t="shared" si="5"/>
        <v>0</v>
      </c>
      <c r="B86" s="285">
        <f t="shared" si="6"/>
        <v>0</v>
      </c>
      <c r="C86" s="285">
        <f t="shared" si="13"/>
        <v>0</v>
      </c>
      <c r="D86" s="285">
        <f t="shared" si="13"/>
        <v>0</v>
      </c>
      <c r="E86" s="285">
        <f t="shared" si="13"/>
        <v>0</v>
      </c>
      <c r="F86" s="285">
        <f t="shared" si="13"/>
        <v>0</v>
      </c>
      <c r="G86" s="285">
        <f t="shared" si="13"/>
        <v>0</v>
      </c>
      <c r="H86" s="285">
        <f t="shared" si="13"/>
        <v>0</v>
      </c>
    </row>
    <row r="87" spans="1:12">
      <c r="A87" s="94">
        <f t="shared" si="5"/>
        <v>0</v>
      </c>
      <c r="B87" s="285">
        <f t="shared" si="6"/>
        <v>0</v>
      </c>
      <c r="C87" s="285">
        <f t="shared" si="13"/>
        <v>0</v>
      </c>
      <c r="D87" s="285">
        <f t="shared" si="13"/>
        <v>0</v>
      </c>
      <c r="E87" s="285">
        <f t="shared" si="13"/>
        <v>0</v>
      </c>
      <c r="F87" s="285">
        <f t="shared" si="13"/>
        <v>0</v>
      </c>
      <c r="G87" s="285">
        <f t="shared" si="13"/>
        <v>0</v>
      </c>
      <c r="H87" s="285">
        <f t="shared" si="13"/>
        <v>0</v>
      </c>
    </row>
    <row r="88" spans="1:12">
      <c r="A88" s="94">
        <f t="shared" si="5"/>
        <v>0</v>
      </c>
      <c r="B88" s="285">
        <f t="shared" si="6"/>
        <v>0</v>
      </c>
      <c r="C88" s="285">
        <f t="shared" si="13"/>
        <v>0</v>
      </c>
      <c r="D88" s="285">
        <f t="shared" si="13"/>
        <v>0</v>
      </c>
      <c r="E88" s="285">
        <f t="shared" si="13"/>
        <v>0</v>
      </c>
      <c r="F88" s="285">
        <f t="shared" si="13"/>
        <v>0</v>
      </c>
      <c r="G88" s="285">
        <f t="shared" si="13"/>
        <v>0</v>
      </c>
      <c r="H88" s="285">
        <f t="shared" si="13"/>
        <v>0</v>
      </c>
    </row>
    <row r="89" spans="1:12">
      <c r="A89" s="94">
        <f t="shared" si="5"/>
        <v>0</v>
      </c>
      <c r="B89" s="285">
        <f t="shared" si="6"/>
        <v>0</v>
      </c>
      <c r="C89" s="285">
        <f t="shared" si="13"/>
        <v>0</v>
      </c>
      <c r="D89" s="285">
        <f t="shared" si="13"/>
        <v>0</v>
      </c>
      <c r="E89" s="285">
        <f t="shared" si="13"/>
        <v>0</v>
      </c>
      <c r="F89" s="285">
        <f t="shared" si="13"/>
        <v>0</v>
      </c>
      <c r="G89" s="285">
        <f t="shared" si="13"/>
        <v>0</v>
      </c>
      <c r="H89" s="285">
        <f t="shared" si="13"/>
        <v>0</v>
      </c>
    </row>
    <row r="90" spans="1:12">
      <c r="A90" s="94"/>
      <c r="B90" s="285"/>
      <c r="C90" s="285"/>
      <c r="D90" s="285"/>
      <c r="E90" s="285"/>
      <c r="F90" s="285"/>
      <c r="G90" s="285"/>
      <c r="H90" s="285"/>
      <c r="J90" s="307"/>
      <c r="K90" s="307"/>
      <c r="L90" s="307"/>
    </row>
    <row r="91" spans="1:12">
      <c r="A91" s="94" t="str">
        <f t="shared" ref="A91:A109" si="14">A34</f>
        <v>Fruit  &amp; Vegetables Crop Production Details</v>
      </c>
      <c r="B91" s="285"/>
      <c r="C91" s="285"/>
      <c r="D91" s="285"/>
      <c r="E91" s="285"/>
      <c r="F91" s="285"/>
      <c r="G91" s="285"/>
      <c r="H91" s="285"/>
      <c r="J91" s="307"/>
      <c r="K91" s="307"/>
      <c r="L91" s="307"/>
    </row>
    <row r="92" spans="1:12">
      <c r="A92" s="94" t="str">
        <f t="shared" si="14"/>
        <v>Onion</v>
      </c>
      <c r="B92" s="285">
        <f t="shared" ref="B92:H101" si="15">B35</f>
        <v>0</v>
      </c>
      <c r="C92" s="285">
        <f t="shared" si="15"/>
        <v>0</v>
      </c>
      <c r="D92" s="285">
        <f t="shared" si="15"/>
        <v>0</v>
      </c>
      <c r="E92" s="285">
        <f t="shared" si="15"/>
        <v>0</v>
      </c>
      <c r="F92" s="285">
        <f t="shared" si="15"/>
        <v>0</v>
      </c>
      <c r="G92" s="285">
        <f t="shared" si="15"/>
        <v>0</v>
      </c>
      <c r="H92" s="285">
        <f t="shared" si="15"/>
        <v>0</v>
      </c>
      <c r="J92" s="307"/>
      <c r="K92" s="307"/>
      <c r="L92" s="307"/>
    </row>
    <row r="93" spans="1:12">
      <c r="A93" s="94" t="str">
        <f t="shared" si="14"/>
        <v>Tomato</v>
      </c>
      <c r="B93" s="285">
        <f t="shared" si="15"/>
        <v>0</v>
      </c>
      <c r="C93" s="285">
        <f t="shared" si="15"/>
        <v>0</v>
      </c>
      <c r="D93" s="285">
        <f t="shared" si="15"/>
        <v>0</v>
      </c>
      <c r="E93" s="285">
        <f t="shared" si="15"/>
        <v>0</v>
      </c>
      <c r="F93" s="285">
        <f t="shared" si="15"/>
        <v>0</v>
      </c>
      <c r="G93" s="285">
        <f t="shared" si="15"/>
        <v>0</v>
      </c>
      <c r="H93" s="285">
        <f t="shared" si="15"/>
        <v>0</v>
      </c>
      <c r="J93" s="307"/>
      <c r="K93" s="307"/>
      <c r="L93" s="307"/>
    </row>
    <row r="94" spans="1:12">
      <c r="A94" s="94" t="str">
        <f t="shared" si="14"/>
        <v>Okra</v>
      </c>
      <c r="B94" s="285">
        <f t="shared" si="15"/>
        <v>0</v>
      </c>
      <c r="C94" s="285">
        <f t="shared" si="15"/>
        <v>0</v>
      </c>
      <c r="D94" s="285">
        <f t="shared" si="15"/>
        <v>0</v>
      </c>
      <c r="E94" s="285">
        <f t="shared" si="15"/>
        <v>0</v>
      </c>
      <c r="F94" s="285">
        <f t="shared" si="15"/>
        <v>0</v>
      </c>
      <c r="G94" s="285">
        <f t="shared" si="15"/>
        <v>0</v>
      </c>
      <c r="H94" s="285">
        <f t="shared" si="15"/>
        <v>0</v>
      </c>
      <c r="J94" s="307"/>
      <c r="K94" s="307"/>
      <c r="L94" s="307"/>
    </row>
    <row r="95" spans="1:12">
      <c r="A95" s="94" t="str">
        <f t="shared" si="14"/>
        <v>Chilli</v>
      </c>
      <c r="B95" s="285">
        <f t="shared" si="15"/>
        <v>0</v>
      </c>
      <c r="C95" s="285">
        <f t="shared" si="15"/>
        <v>0</v>
      </c>
      <c r="D95" s="285">
        <f t="shared" si="15"/>
        <v>0</v>
      </c>
      <c r="E95" s="285">
        <f t="shared" si="15"/>
        <v>0</v>
      </c>
      <c r="F95" s="285">
        <f t="shared" si="15"/>
        <v>0</v>
      </c>
      <c r="G95" s="285">
        <f t="shared" si="15"/>
        <v>0</v>
      </c>
      <c r="H95" s="285">
        <f t="shared" si="15"/>
        <v>0</v>
      </c>
      <c r="J95" s="307"/>
      <c r="K95" s="307"/>
      <c r="L95" s="307"/>
    </row>
    <row r="96" spans="1:12">
      <c r="A96" s="94" t="str">
        <f t="shared" si="14"/>
        <v>Potato</v>
      </c>
      <c r="B96" s="285">
        <f t="shared" si="15"/>
        <v>0</v>
      </c>
      <c r="C96" s="285">
        <f t="shared" si="15"/>
        <v>0</v>
      </c>
      <c r="D96" s="285">
        <f t="shared" si="15"/>
        <v>0</v>
      </c>
      <c r="E96" s="285">
        <f t="shared" si="15"/>
        <v>0</v>
      </c>
      <c r="F96" s="285">
        <f t="shared" si="15"/>
        <v>0</v>
      </c>
      <c r="G96" s="285">
        <f t="shared" si="15"/>
        <v>0</v>
      </c>
      <c r="H96" s="285">
        <f t="shared" si="15"/>
        <v>0</v>
      </c>
      <c r="J96" s="307"/>
      <c r="K96" s="307"/>
      <c r="L96" s="307"/>
    </row>
    <row r="97" spans="1:12">
      <c r="A97" s="94">
        <f t="shared" si="14"/>
        <v>0</v>
      </c>
      <c r="B97" s="285">
        <f t="shared" si="15"/>
        <v>0</v>
      </c>
      <c r="C97" s="285">
        <f t="shared" si="15"/>
        <v>0</v>
      </c>
      <c r="D97" s="285">
        <f t="shared" si="15"/>
        <v>0</v>
      </c>
      <c r="E97" s="285">
        <f t="shared" si="15"/>
        <v>0</v>
      </c>
      <c r="F97" s="285">
        <f t="shared" si="15"/>
        <v>0</v>
      </c>
      <c r="G97" s="285">
        <f t="shared" si="15"/>
        <v>0</v>
      </c>
      <c r="H97" s="285">
        <f t="shared" si="15"/>
        <v>0</v>
      </c>
      <c r="J97" s="307"/>
      <c r="K97" s="307"/>
      <c r="L97" s="307"/>
    </row>
    <row r="98" spans="1:12">
      <c r="A98" s="94">
        <f t="shared" si="14"/>
        <v>0</v>
      </c>
      <c r="B98" s="285">
        <f t="shared" si="15"/>
        <v>0</v>
      </c>
      <c r="C98" s="285">
        <f t="shared" si="15"/>
        <v>0</v>
      </c>
      <c r="D98" s="285">
        <f t="shared" si="15"/>
        <v>0</v>
      </c>
      <c r="E98" s="285">
        <f t="shared" si="15"/>
        <v>0</v>
      </c>
      <c r="F98" s="285">
        <f t="shared" si="15"/>
        <v>0</v>
      </c>
      <c r="G98" s="285">
        <f t="shared" si="15"/>
        <v>0</v>
      </c>
      <c r="H98" s="285">
        <f t="shared" si="15"/>
        <v>0</v>
      </c>
      <c r="J98" s="307"/>
      <c r="K98" s="307"/>
      <c r="L98" s="307"/>
    </row>
    <row r="99" spans="1:12">
      <c r="A99" s="94">
        <f t="shared" si="14"/>
        <v>0</v>
      </c>
      <c r="B99" s="285">
        <f t="shared" si="15"/>
        <v>0</v>
      </c>
      <c r="C99" s="285">
        <f t="shared" si="15"/>
        <v>0</v>
      </c>
      <c r="D99" s="285">
        <f t="shared" si="15"/>
        <v>0</v>
      </c>
      <c r="E99" s="285">
        <f t="shared" si="15"/>
        <v>0</v>
      </c>
      <c r="F99" s="285">
        <f t="shared" si="15"/>
        <v>0</v>
      </c>
      <c r="G99" s="285">
        <f t="shared" si="15"/>
        <v>0</v>
      </c>
      <c r="H99" s="285">
        <f t="shared" si="15"/>
        <v>0</v>
      </c>
      <c r="J99" s="307"/>
      <c r="K99" s="307"/>
      <c r="L99" s="307"/>
    </row>
    <row r="100" spans="1:12">
      <c r="A100" s="94">
        <f t="shared" si="14"/>
        <v>0</v>
      </c>
      <c r="B100" s="285">
        <f t="shared" si="15"/>
        <v>0</v>
      </c>
      <c r="C100" s="285">
        <f t="shared" si="15"/>
        <v>0</v>
      </c>
      <c r="D100" s="285">
        <f t="shared" si="15"/>
        <v>0</v>
      </c>
      <c r="E100" s="285">
        <f t="shared" si="15"/>
        <v>0</v>
      </c>
      <c r="F100" s="285">
        <f t="shared" si="15"/>
        <v>0</v>
      </c>
      <c r="G100" s="285">
        <f t="shared" si="15"/>
        <v>0</v>
      </c>
      <c r="H100" s="285">
        <f t="shared" si="15"/>
        <v>0</v>
      </c>
      <c r="J100" s="307"/>
      <c r="K100" s="307"/>
      <c r="L100" s="307"/>
    </row>
    <row r="101" spans="1:12">
      <c r="A101" s="94" t="str">
        <f t="shared" si="14"/>
        <v>Onion</v>
      </c>
      <c r="B101" s="285">
        <f t="shared" si="15"/>
        <v>0</v>
      </c>
      <c r="C101" s="285">
        <f t="shared" si="15"/>
        <v>0</v>
      </c>
      <c r="D101" s="285">
        <f t="shared" si="15"/>
        <v>0</v>
      </c>
      <c r="E101" s="285">
        <f t="shared" si="15"/>
        <v>0</v>
      </c>
      <c r="F101" s="285">
        <f t="shared" si="15"/>
        <v>0</v>
      </c>
      <c r="G101" s="285">
        <f t="shared" si="15"/>
        <v>0</v>
      </c>
      <c r="H101" s="285">
        <f t="shared" si="15"/>
        <v>0</v>
      </c>
      <c r="J101" s="307"/>
      <c r="K101" s="307"/>
      <c r="L101" s="307"/>
    </row>
    <row r="102" spans="1:12">
      <c r="A102" s="94" t="str">
        <f t="shared" si="14"/>
        <v>Tomato</v>
      </c>
      <c r="B102" s="285">
        <f t="shared" ref="B102:H109" si="16">B45</f>
        <v>0</v>
      </c>
      <c r="C102" s="285">
        <f t="shared" si="16"/>
        <v>0</v>
      </c>
      <c r="D102" s="285">
        <f t="shared" si="16"/>
        <v>0</v>
      </c>
      <c r="E102" s="285">
        <f t="shared" si="16"/>
        <v>0</v>
      </c>
      <c r="F102" s="285">
        <f t="shared" si="16"/>
        <v>0</v>
      </c>
      <c r="G102" s="285">
        <f t="shared" si="16"/>
        <v>0</v>
      </c>
      <c r="H102" s="285">
        <f t="shared" si="16"/>
        <v>0</v>
      </c>
      <c r="J102" s="307"/>
      <c r="K102" s="307"/>
      <c r="L102" s="307"/>
    </row>
    <row r="103" spans="1:12">
      <c r="A103" s="94" t="str">
        <f t="shared" si="14"/>
        <v>Okra</v>
      </c>
      <c r="B103" s="285">
        <f t="shared" si="16"/>
        <v>0</v>
      </c>
      <c r="C103" s="285">
        <f t="shared" si="16"/>
        <v>0</v>
      </c>
      <c r="D103" s="285">
        <f t="shared" si="16"/>
        <v>0</v>
      </c>
      <c r="E103" s="285">
        <f t="shared" si="16"/>
        <v>0</v>
      </c>
      <c r="F103" s="285">
        <f t="shared" si="16"/>
        <v>0</v>
      </c>
      <c r="G103" s="285">
        <f t="shared" si="16"/>
        <v>0</v>
      </c>
      <c r="H103" s="285">
        <f t="shared" si="16"/>
        <v>0</v>
      </c>
      <c r="J103" s="307"/>
      <c r="K103" s="307"/>
      <c r="L103" s="307"/>
    </row>
    <row r="104" spans="1:12">
      <c r="A104" s="94" t="str">
        <f t="shared" si="14"/>
        <v>Chilli</v>
      </c>
      <c r="B104" s="285">
        <f t="shared" si="16"/>
        <v>0</v>
      </c>
      <c r="C104" s="285">
        <f t="shared" si="16"/>
        <v>0</v>
      </c>
      <c r="D104" s="285">
        <f t="shared" si="16"/>
        <v>0</v>
      </c>
      <c r="E104" s="285">
        <f t="shared" si="16"/>
        <v>0</v>
      </c>
      <c r="F104" s="285">
        <f t="shared" si="16"/>
        <v>0</v>
      </c>
      <c r="G104" s="285">
        <f t="shared" si="16"/>
        <v>0</v>
      </c>
      <c r="H104" s="285">
        <f t="shared" si="16"/>
        <v>0</v>
      </c>
      <c r="J104" s="307"/>
      <c r="K104" s="307"/>
      <c r="L104" s="307"/>
    </row>
    <row r="105" spans="1:12">
      <c r="A105" s="94" t="str">
        <f t="shared" si="14"/>
        <v>Brinjal</v>
      </c>
      <c r="B105" s="285">
        <f t="shared" si="16"/>
        <v>0</v>
      </c>
      <c r="C105" s="285">
        <f t="shared" si="16"/>
        <v>0</v>
      </c>
      <c r="D105" s="285">
        <f t="shared" si="16"/>
        <v>0</v>
      </c>
      <c r="E105" s="285">
        <f t="shared" si="16"/>
        <v>0</v>
      </c>
      <c r="F105" s="285">
        <f t="shared" si="16"/>
        <v>0</v>
      </c>
      <c r="G105" s="285">
        <f t="shared" si="16"/>
        <v>0</v>
      </c>
      <c r="H105" s="285">
        <f t="shared" si="16"/>
        <v>0</v>
      </c>
      <c r="J105" s="307"/>
      <c r="K105" s="307"/>
      <c r="L105" s="307"/>
    </row>
    <row r="106" spans="1:12">
      <c r="A106" s="94">
        <f t="shared" si="14"/>
        <v>0</v>
      </c>
      <c r="B106" s="285">
        <f t="shared" si="16"/>
        <v>0</v>
      </c>
      <c r="C106" s="285">
        <f t="shared" si="16"/>
        <v>0</v>
      </c>
      <c r="D106" s="285">
        <f t="shared" si="16"/>
        <v>0</v>
      </c>
      <c r="E106" s="285">
        <f t="shared" si="16"/>
        <v>0</v>
      </c>
      <c r="F106" s="285">
        <f t="shared" si="16"/>
        <v>0</v>
      </c>
      <c r="G106" s="285">
        <f t="shared" si="16"/>
        <v>0</v>
      </c>
      <c r="H106" s="285">
        <f t="shared" si="16"/>
        <v>0</v>
      </c>
      <c r="J106" s="307"/>
      <c r="K106" s="307"/>
      <c r="L106" s="307"/>
    </row>
    <row r="107" spans="1:12">
      <c r="A107" s="94">
        <f t="shared" si="14"/>
        <v>0</v>
      </c>
      <c r="B107" s="285">
        <f t="shared" si="16"/>
        <v>0</v>
      </c>
      <c r="C107" s="285">
        <f t="shared" si="16"/>
        <v>0</v>
      </c>
      <c r="D107" s="285">
        <f t="shared" si="16"/>
        <v>0</v>
      </c>
      <c r="E107" s="285">
        <f t="shared" si="16"/>
        <v>0</v>
      </c>
      <c r="F107" s="285">
        <f t="shared" si="16"/>
        <v>0</v>
      </c>
      <c r="G107" s="285">
        <f t="shared" si="16"/>
        <v>0</v>
      </c>
      <c r="H107" s="285">
        <f t="shared" si="16"/>
        <v>0</v>
      </c>
      <c r="J107" s="307"/>
      <c r="K107" s="307"/>
      <c r="L107" s="307"/>
    </row>
    <row r="108" spans="1:12">
      <c r="A108" s="94">
        <f t="shared" si="14"/>
        <v>0</v>
      </c>
      <c r="B108" s="285">
        <f t="shared" si="16"/>
        <v>0</v>
      </c>
      <c r="C108" s="285">
        <f t="shared" si="16"/>
        <v>0</v>
      </c>
      <c r="D108" s="285">
        <f t="shared" si="16"/>
        <v>0</v>
      </c>
      <c r="E108" s="285">
        <f t="shared" si="16"/>
        <v>0</v>
      </c>
      <c r="F108" s="285">
        <f t="shared" si="16"/>
        <v>0</v>
      </c>
      <c r="G108" s="285">
        <f t="shared" si="16"/>
        <v>0</v>
      </c>
      <c r="H108" s="285">
        <f t="shared" si="16"/>
        <v>0</v>
      </c>
      <c r="J108" s="307"/>
      <c r="K108" s="307"/>
      <c r="L108" s="307"/>
    </row>
    <row r="109" spans="1:12">
      <c r="A109" s="94">
        <f t="shared" si="14"/>
        <v>0</v>
      </c>
      <c r="B109" s="285">
        <f t="shared" si="16"/>
        <v>0</v>
      </c>
      <c r="C109" s="285">
        <f t="shared" si="16"/>
        <v>0</v>
      </c>
      <c r="D109" s="285">
        <f t="shared" si="16"/>
        <v>0</v>
      </c>
      <c r="E109" s="285">
        <f t="shared" si="16"/>
        <v>0</v>
      </c>
      <c r="F109" s="285">
        <f t="shared" si="16"/>
        <v>0</v>
      </c>
      <c r="G109" s="285">
        <f t="shared" si="16"/>
        <v>0</v>
      </c>
      <c r="H109" s="285">
        <f t="shared" si="16"/>
        <v>0</v>
      </c>
      <c r="J109" s="307"/>
      <c r="K109" s="307"/>
      <c r="L109" s="307"/>
    </row>
    <row r="110" spans="1:12">
      <c r="A110" s="94">
        <f t="shared" ref="A110:A113" si="17">A53</f>
        <v>0</v>
      </c>
      <c r="B110" s="285"/>
      <c r="C110" s="285"/>
      <c r="D110" s="285"/>
      <c r="E110" s="285"/>
      <c r="F110" s="285"/>
      <c r="G110" s="285"/>
      <c r="H110" s="285"/>
      <c r="J110" s="307"/>
      <c r="K110" s="307"/>
      <c r="L110" s="307"/>
    </row>
    <row r="111" spans="1:12">
      <c r="A111" s="94">
        <f t="shared" si="17"/>
        <v>0</v>
      </c>
      <c r="B111" s="285"/>
      <c r="C111" s="285"/>
      <c r="D111" s="285"/>
      <c r="E111" s="285"/>
      <c r="F111" s="285"/>
      <c r="G111" s="285"/>
      <c r="H111" s="285"/>
      <c r="J111" s="307"/>
      <c r="K111" s="307"/>
      <c r="L111" s="307"/>
    </row>
    <row r="112" spans="1:12">
      <c r="A112" s="94">
        <f t="shared" si="17"/>
        <v>0</v>
      </c>
      <c r="B112" s="285"/>
      <c r="C112" s="285"/>
      <c r="D112" s="285"/>
      <c r="E112" s="285"/>
      <c r="F112" s="285"/>
      <c r="G112" s="285"/>
      <c r="H112" s="285"/>
      <c r="J112" s="307"/>
      <c r="K112" s="307"/>
      <c r="L112" s="307"/>
    </row>
    <row r="113" spans="1:12">
      <c r="A113" s="94" t="str">
        <f t="shared" si="17"/>
        <v>Pomegranate</v>
      </c>
      <c r="B113" s="285">
        <f t="shared" ref="B113:H116" si="18">B56</f>
        <v>0</v>
      </c>
      <c r="C113" s="285">
        <f t="shared" si="18"/>
        <v>0</v>
      </c>
      <c r="D113" s="285">
        <f t="shared" si="18"/>
        <v>0</v>
      </c>
      <c r="E113" s="285">
        <f t="shared" si="18"/>
        <v>0</v>
      </c>
      <c r="F113" s="285">
        <f t="shared" si="18"/>
        <v>0</v>
      </c>
      <c r="G113" s="285">
        <f t="shared" si="18"/>
        <v>0</v>
      </c>
      <c r="H113" s="285">
        <f t="shared" si="18"/>
        <v>0</v>
      </c>
      <c r="J113" s="307"/>
      <c r="K113" s="307"/>
      <c r="L113" s="307"/>
    </row>
    <row r="114" spans="1:12">
      <c r="A114" s="94" t="str">
        <f>A57</f>
        <v>Custard Apple</v>
      </c>
      <c r="B114" s="285">
        <f t="shared" si="18"/>
        <v>0</v>
      </c>
      <c r="C114" s="285">
        <f t="shared" si="18"/>
        <v>0</v>
      </c>
      <c r="D114" s="285">
        <f t="shared" si="18"/>
        <v>0</v>
      </c>
      <c r="E114" s="285">
        <f t="shared" si="18"/>
        <v>0</v>
      </c>
      <c r="F114" s="285">
        <f t="shared" si="18"/>
        <v>0</v>
      </c>
      <c r="G114" s="285">
        <f t="shared" si="18"/>
        <v>0</v>
      </c>
      <c r="H114" s="285">
        <f t="shared" si="18"/>
        <v>0</v>
      </c>
      <c r="J114" s="307"/>
      <c r="K114" s="307"/>
      <c r="L114" s="307"/>
    </row>
    <row r="115" spans="1:12">
      <c r="A115" s="94" t="str">
        <f>A58</f>
        <v>Guava</v>
      </c>
      <c r="B115" s="285">
        <f t="shared" si="18"/>
        <v>0</v>
      </c>
      <c r="C115" s="285">
        <f t="shared" si="18"/>
        <v>0</v>
      </c>
      <c r="D115" s="285">
        <f t="shared" si="18"/>
        <v>0</v>
      </c>
      <c r="E115" s="285">
        <f t="shared" si="18"/>
        <v>0</v>
      </c>
      <c r="F115" s="285">
        <f t="shared" si="18"/>
        <v>0</v>
      </c>
      <c r="G115" s="285">
        <f t="shared" si="18"/>
        <v>0</v>
      </c>
      <c r="H115" s="285">
        <f t="shared" si="18"/>
        <v>0</v>
      </c>
      <c r="J115" s="307"/>
      <c r="K115" s="307"/>
      <c r="L115" s="307"/>
    </row>
    <row r="116" spans="1:12">
      <c r="A116" s="94" t="str">
        <f>A59</f>
        <v>Citrus</v>
      </c>
      <c r="B116" s="285">
        <f t="shared" si="18"/>
        <v>0</v>
      </c>
      <c r="C116" s="285">
        <f t="shared" si="18"/>
        <v>0</v>
      </c>
      <c r="D116" s="285">
        <f t="shared" si="18"/>
        <v>0</v>
      </c>
      <c r="E116" s="285">
        <f t="shared" si="18"/>
        <v>0</v>
      </c>
      <c r="F116" s="285">
        <f t="shared" si="18"/>
        <v>0</v>
      </c>
      <c r="G116" s="285">
        <f t="shared" si="18"/>
        <v>0</v>
      </c>
      <c r="H116" s="285">
        <f t="shared" si="18"/>
        <v>0</v>
      </c>
      <c r="J116" s="307"/>
      <c r="K116" s="307"/>
      <c r="L116" s="307"/>
    </row>
    <row r="117" spans="1:12">
      <c r="A117" s="94"/>
      <c r="B117" s="285"/>
      <c r="C117" s="285"/>
      <c r="D117" s="285"/>
      <c r="E117" s="285"/>
      <c r="F117" s="285"/>
      <c r="G117" s="285"/>
      <c r="H117" s="285"/>
      <c r="J117" s="307"/>
      <c r="K117" s="307"/>
      <c r="L117" s="307"/>
    </row>
    <row r="118" spans="1:12">
      <c r="A118" s="94"/>
      <c r="B118" s="285"/>
      <c r="C118" s="285"/>
      <c r="D118" s="285"/>
      <c r="E118" s="285"/>
      <c r="F118" s="285"/>
      <c r="G118" s="285"/>
      <c r="H118" s="285"/>
      <c r="J118" s="307"/>
      <c r="K118" s="307"/>
      <c r="L118" s="307"/>
    </row>
    <row r="119" spans="1:12">
      <c r="A119" s="100" t="s">
        <v>139</v>
      </c>
      <c r="B119" s="94"/>
      <c r="C119" s="94"/>
      <c r="D119" s="94"/>
      <c r="E119" s="94"/>
      <c r="F119" s="94"/>
      <c r="G119" s="94"/>
      <c r="H119" s="94"/>
    </row>
    <row r="120" spans="1:12">
      <c r="A120" s="98" t="str">
        <f t="shared" ref="A120:A141" si="19">A68</f>
        <v>Soybean</v>
      </c>
      <c r="B120" s="286">
        <f t="shared" ref="B120:H129" si="20">B68-(B68*$G$6)</f>
        <v>1435.3796159999997</v>
      </c>
      <c r="C120" s="286">
        <f t="shared" si="20"/>
        <v>1674.6095519999994</v>
      </c>
      <c r="D120" s="286">
        <f t="shared" si="20"/>
        <v>1913.8394879999996</v>
      </c>
      <c r="E120" s="286">
        <f t="shared" si="20"/>
        <v>2153.0694239999998</v>
      </c>
      <c r="F120" s="286">
        <f t="shared" si="20"/>
        <v>2392.2993599999991</v>
      </c>
      <c r="G120" s="286">
        <f t="shared" si="20"/>
        <v>2631.5292959999997</v>
      </c>
      <c r="H120" s="286">
        <f t="shared" si="20"/>
        <v>2870.7592319999994</v>
      </c>
    </row>
    <row r="121" spans="1:12">
      <c r="A121" s="98" t="str">
        <f t="shared" si="19"/>
        <v>Tur</v>
      </c>
      <c r="B121" s="286">
        <f t="shared" si="20"/>
        <v>172.17305999999999</v>
      </c>
      <c r="C121" s="286">
        <f t="shared" si="20"/>
        <v>200.86856999999998</v>
      </c>
      <c r="D121" s="286">
        <f t="shared" si="20"/>
        <v>229.56407999999999</v>
      </c>
      <c r="E121" s="286">
        <f t="shared" si="20"/>
        <v>258.25958999999995</v>
      </c>
      <c r="F121" s="286">
        <f t="shared" si="20"/>
        <v>286.95509999999996</v>
      </c>
      <c r="G121" s="286">
        <f t="shared" si="20"/>
        <v>315.65060999999997</v>
      </c>
      <c r="H121" s="286">
        <f t="shared" si="20"/>
        <v>344.34611999999998</v>
      </c>
    </row>
    <row r="122" spans="1:12">
      <c r="A122" s="98" t="str">
        <f t="shared" si="19"/>
        <v>Turmeric</v>
      </c>
      <c r="B122" s="286">
        <f t="shared" si="20"/>
        <v>2440.1453472000003</v>
      </c>
      <c r="C122" s="286">
        <f t="shared" si="20"/>
        <v>2846.8362384000006</v>
      </c>
      <c r="D122" s="286">
        <f t="shared" si="20"/>
        <v>3253.5271296000005</v>
      </c>
      <c r="E122" s="286">
        <f t="shared" si="20"/>
        <v>3660.2180208000004</v>
      </c>
      <c r="F122" s="286">
        <f t="shared" si="20"/>
        <v>4066.9089120000008</v>
      </c>
      <c r="G122" s="286">
        <f t="shared" si="20"/>
        <v>4473.5998031999998</v>
      </c>
      <c r="H122" s="286">
        <f t="shared" si="20"/>
        <v>4880.2906944000006</v>
      </c>
    </row>
    <row r="123" spans="1:12">
      <c r="A123" s="98" t="str">
        <f t="shared" si="19"/>
        <v>Moong</v>
      </c>
      <c r="B123" s="286">
        <f t="shared" si="20"/>
        <v>125.59571640000003</v>
      </c>
      <c r="C123" s="286">
        <f t="shared" si="20"/>
        <v>146.52833580000001</v>
      </c>
      <c r="D123" s="286">
        <f t="shared" si="20"/>
        <v>167.4609552</v>
      </c>
      <c r="E123" s="286">
        <f t="shared" si="20"/>
        <v>188.39357459999999</v>
      </c>
      <c r="F123" s="286">
        <f t="shared" si="20"/>
        <v>209.32619400000002</v>
      </c>
      <c r="G123" s="286">
        <f t="shared" si="20"/>
        <v>230.25881340000001</v>
      </c>
      <c r="H123" s="286">
        <f t="shared" si="20"/>
        <v>251.19143280000006</v>
      </c>
    </row>
    <row r="124" spans="1:12">
      <c r="A124" s="98" t="str">
        <f t="shared" si="19"/>
        <v>Maize</v>
      </c>
      <c r="B124" s="286">
        <f t="shared" si="20"/>
        <v>0</v>
      </c>
      <c r="C124" s="286">
        <f t="shared" si="20"/>
        <v>0</v>
      </c>
      <c r="D124" s="286">
        <f t="shared" si="20"/>
        <v>0</v>
      </c>
      <c r="E124" s="286">
        <f t="shared" si="20"/>
        <v>0</v>
      </c>
      <c r="F124" s="286">
        <f t="shared" si="20"/>
        <v>0</v>
      </c>
      <c r="G124" s="286">
        <f t="shared" si="20"/>
        <v>0</v>
      </c>
      <c r="H124" s="286">
        <f t="shared" si="20"/>
        <v>0</v>
      </c>
    </row>
    <row r="125" spans="1:12">
      <c r="A125" s="98" t="str">
        <f t="shared" si="19"/>
        <v>Udid</v>
      </c>
      <c r="B125" s="286">
        <f t="shared" si="20"/>
        <v>143.53796160000002</v>
      </c>
      <c r="C125" s="286">
        <f t="shared" si="20"/>
        <v>167.4609552</v>
      </c>
      <c r="D125" s="286">
        <f t="shared" si="20"/>
        <v>191.38394880000001</v>
      </c>
      <c r="E125" s="286">
        <f t="shared" si="20"/>
        <v>215.3069424</v>
      </c>
      <c r="F125" s="286">
        <f t="shared" si="20"/>
        <v>239.22993599999995</v>
      </c>
      <c r="G125" s="286">
        <f t="shared" si="20"/>
        <v>263.15292959999999</v>
      </c>
      <c r="H125" s="286">
        <f t="shared" si="20"/>
        <v>287.07592319999998</v>
      </c>
    </row>
    <row r="126" spans="1:12">
      <c r="A126" s="98" t="str">
        <f t="shared" si="19"/>
        <v>Bajra</v>
      </c>
      <c r="B126" s="286">
        <f t="shared" si="20"/>
        <v>0</v>
      </c>
      <c r="C126" s="286">
        <f t="shared" si="20"/>
        <v>0</v>
      </c>
      <c r="D126" s="286">
        <f t="shared" si="20"/>
        <v>0</v>
      </c>
      <c r="E126" s="286">
        <f t="shared" si="20"/>
        <v>0</v>
      </c>
      <c r="F126" s="286">
        <f t="shared" si="20"/>
        <v>0</v>
      </c>
      <c r="G126" s="286">
        <f t="shared" si="20"/>
        <v>0</v>
      </c>
      <c r="H126" s="286">
        <f t="shared" si="20"/>
        <v>0</v>
      </c>
    </row>
    <row r="127" spans="1:12">
      <c r="A127" s="98" t="str">
        <f t="shared" si="19"/>
        <v>Jawar</v>
      </c>
      <c r="B127" s="286">
        <f t="shared" si="20"/>
        <v>175.79775599999999</v>
      </c>
      <c r="C127" s="286">
        <f t="shared" si="20"/>
        <v>205.09738199999998</v>
      </c>
      <c r="D127" s="286">
        <f t="shared" si="20"/>
        <v>234.397008</v>
      </c>
      <c r="E127" s="286">
        <f t="shared" si="20"/>
        <v>263.69663399999996</v>
      </c>
      <c r="F127" s="286">
        <f t="shared" si="20"/>
        <v>292.99626000000001</v>
      </c>
      <c r="G127" s="286">
        <f t="shared" si="20"/>
        <v>322.295886</v>
      </c>
      <c r="H127" s="286">
        <f t="shared" si="20"/>
        <v>351.59551200000004</v>
      </c>
    </row>
    <row r="128" spans="1:12">
      <c r="A128" s="98" t="str">
        <f t="shared" si="19"/>
        <v>Channa</v>
      </c>
      <c r="B128" s="286">
        <f t="shared" si="20"/>
        <v>0</v>
      </c>
      <c r="C128" s="286">
        <f t="shared" si="20"/>
        <v>0</v>
      </c>
      <c r="D128" s="286">
        <f t="shared" si="20"/>
        <v>0</v>
      </c>
      <c r="E128" s="286">
        <f t="shared" si="20"/>
        <v>0</v>
      </c>
      <c r="F128" s="286">
        <f t="shared" si="20"/>
        <v>0</v>
      </c>
      <c r="G128" s="286">
        <f t="shared" si="20"/>
        <v>0</v>
      </c>
      <c r="H128" s="286">
        <f t="shared" si="20"/>
        <v>0</v>
      </c>
    </row>
    <row r="129" spans="1:8">
      <c r="A129" s="98" t="str">
        <f t="shared" si="19"/>
        <v>Wheat</v>
      </c>
      <c r="B129" s="286">
        <f t="shared" si="20"/>
        <v>464.86726199999981</v>
      </c>
      <c r="C129" s="286">
        <f t="shared" si="20"/>
        <v>542.34513899999979</v>
      </c>
      <c r="D129" s="286">
        <f t="shared" si="20"/>
        <v>619.82301599999982</v>
      </c>
      <c r="E129" s="286">
        <f t="shared" si="20"/>
        <v>697.30089299999963</v>
      </c>
      <c r="F129" s="286">
        <f t="shared" si="20"/>
        <v>774.77876999999967</v>
      </c>
      <c r="G129" s="286">
        <f t="shared" si="20"/>
        <v>852.2566469999997</v>
      </c>
      <c r="H129" s="286">
        <f t="shared" si="20"/>
        <v>929.73452399999962</v>
      </c>
    </row>
    <row r="130" spans="1:8">
      <c r="A130" s="98" t="str">
        <f t="shared" si="19"/>
        <v>Channa</v>
      </c>
      <c r="B130" s="286">
        <f t="shared" ref="B130:H139" si="21">B78-(B78*$G$6)</f>
        <v>1446.253704</v>
      </c>
      <c r="C130" s="286">
        <f t="shared" si="21"/>
        <v>1687.2959879999996</v>
      </c>
      <c r="D130" s="286">
        <f t="shared" si="21"/>
        <v>1928.3382719999997</v>
      </c>
      <c r="E130" s="286">
        <f t="shared" si="21"/>
        <v>2169.3805559999996</v>
      </c>
      <c r="F130" s="286">
        <f t="shared" si="21"/>
        <v>2410.4228399999993</v>
      </c>
      <c r="G130" s="286">
        <f t="shared" si="21"/>
        <v>2651.4651239999994</v>
      </c>
      <c r="H130" s="286">
        <f t="shared" si="21"/>
        <v>2892.5074079999999</v>
      </c>
    </row>
    <row r="131" spans="1:8">
      <c r="A131" s="98" t="str">
        <f t="shared" si="19"/>
        <v>Jawar</v>
      </c>
      <c r="B131" s="286">
        <f t="shared" si="21"/>
        <v>168.76584576000002</v>
      </c>
      <c r="C131" s="286">
        <f t="shared" si="21"/>
        <v>196.89348671999997</v>
      </c>
      <c r="D131" s="286">
        <f t="shared" si="21"/>
        <v>225.02112767999998</v>
      </c>
      <c r="E131" s="286">
        <f t="shared" si="21"/>
        <v>253.14876863999996</v>
      </c>
      <c r="F131" s="286">
        <f t="shared" si="21"/>
        <v>281.27640959999997</v>
      </c>
      <c r="G131" s="286">
        <f t="shared" si="21"/>
        <v>309.40405055999997</v>
      </c>
      <c r="H131" s="286">
        <f t="shared" si="21"/>
        <v>337.53169152000004</v>
      </c>
    </row>
    <row r="132" spans="1:8">
      <c r="A132" s="98" t="str">
        <f t="shared" si="19"/>
        <v>Maize</v>
      </c>
      <c r="B132" s="286">
        <f t="shared" si="21"/>
        <v>0</v>
      </c>
      <c r="C132" s="286">
        <f t="shared" si="21"/>
        <v>0</v>
      </c>
      <c r="D132" s="286">
        <f t="shared" si="21"/>
        <v>0</v>
      </c>
      <c r="E132" s="286">
        <f t="shared" si="21"/>
        <v>0</v>
      </c>
      <c r="F132" s="286">
        <f t="shared" si="21"/>
        <v>0</v>
      </c>
      <c r="G132" s="286">
        <f t="shared" si="21"/>
        <v>0</v>
      </c>
      <c r="H132" s="286">
        <f t="shared" si="21"/>
        <v>0</v>
      </c>
    </row>
    <row r="133" spans="1:8">
      <c r="A133" s="98" t="str">
        <f t="shared" si="19"/>
        <v>Safflower</v>
      </c>
      <c r="B133" s="286">
        <f t="shared" si="21"/>
        <v>0</v>
      </c>
      <c r="C133" s="286">
        <f t="shared" si="21"/>
        <v>0</v>
      </c>
      <c r="D133" s="286">
        <f t="shared" si="21"/>
        <v>0</v>
      </c>
      <c r="E133" s="286">
        <f t="shared" si="21"/>
        <v>0</v>
      </c>
      <c r="F133" s="286">
        <f t="shared" si="21"/>
        <v>0</v>
      </c>
      <c r="G133" s="286">
        <f t="shared" si="21"/>
        <v>0</v>
      </c>
      <c r="H133" s="286">
        <f t="shared" si="21"/>
        <v>0</v>
      </c>
    </row>
    <row r="134" spans="1:8">
      <c r="A134" s="98" t="str">
        <f t="shared" si="19"/>
        <v>Groundnut</v>
      </c>
      <c r="B134" s="286">
        <f t="shared" si="21"/>
        <v>53.826735599999999</v>
      </c>
      <c r="C134" s="286">
        <f t="shared" si="21"/>
        <v>62.7978582</v>
      </c>
      <c r="D134" s="286">
        <f t="shared" si="21"/>
        <v>71.768980799999994</v>
      </c>
      <c r="E134" s="286">
        <f t="shared" si="21"/>
        <v>80.740103399999981</v>
      </c>
      <c r="F134" s="286">
        <f t="shared" si="21"/>
        <v>89.711225999999982</v>
      </c>
      <c r="G134" s="286">
        <f t="shared" si="21"/>
        <v>98.682348599999969</v>
      </c>
      <c r="H134" s="286">
        <f t="shared" si="21"/>
        <v>107.6534712</v>
      </c>
    </row>
    <row r="135" spans="1:8">
      <c r="A135" s="98">
        <f t="shared" si="19"/>
        <v>0</v>
      </c>
      <c r="B135" s="286">
        <f t="shared" si="21"/>
        <v>0</v>
      </c>
      <c r="C135" s="286">
        <f t="shared" si="21"/>
        <v>0</v>
      </c>
      <c r="D135" s="286">
        <f t="shared" si="21"/>
        <v>0</v>
      </c>
      <c r="E135" s="286">
        <f t="shared" si="21"/>
        <v>0</v>
      </c>
      <c r="F135" s="286">
        <f t="shared" si="21"/>
        <v>0</v>
      </c>
      <c r="G135" s="286">
        <f t="shared" si="21"/>
        <v>0</v>
      </c>
      <c r="H135" s="286">
        <f t="shared" si="21"/>
        <v>0</v>
      </c>
    </row>
    <row r="136" spans="1:8">
      <c r="A136" s="98">
        <f t="shared" si="19"/>
        <v>0</v>
      </c>
      <c r="B136" s="286">
        <f t="shared" si="21"/>
        <v>0</v>
      </c>
      <c r="C136" s="286">
        <f t="shared" si="21"/>
        <v>0</v>
      </c>
      <c r="D136" s="286">
        <f t="shared" si="21"/>
        <v>0</v>
      </c>
      <c r="E136" s="286">
        <f t="shared" si="21"/>
        <v>0</v>
      </c>
      <c r="F136" s="286">
        <f t="shared" si="21"/>
        <v>0</v>
      </c>
      <c r="G136" s="286">
        <f t="shared" si="21"/>
        <v>0</v>
      </c>
      <c r="H136" s="286">
        <f t="shared" si="21"/>
        <v>0</v>
      </c>
    </row>
    <row r="137" spans="1:8">
      <c r="A137" s="98" t="str">
        <f t="shared" si="19"/>
        <v>Soybean</v>
      </c>
      <c r="B137" s="286">
        <f t="shared" si="21"/>
        <v>12.559571640000001</v>
      </c>
      <c r="C137" s="286">
        <f t="shared" si="21"/>
        <v>14.652833580000001</v>
      </c>
      <c r="D137" s="286">
        <f t="shared" si="21"/>
        <v>16.746095520000004</v>
      </c>
      <c r="E137" s="286">
        <f t="shared" si="21"/>
        <v>18.839357460000006</v>
      </c>
      <c r="F137" s="286">
        <f t="shared" si="21"/>
        <v>20.9326194</v>
      </c>
      <c r="G137" s="286">
        <f t="shared" si="21"/>
        <v>23.025881340000005</v>
      </c>
      <c r="H137" s="286">
        <f t="shared" si="21"/>
        <v>25.119143280000003</v>
      </c>
    </row>
    <row r="138" spans="1:8">
      <c r="A138" s="98">
        <f t="shared" si="19"/>
        <v>0</v>
      </c>
      <c r="B138" s="286">
        <f t="shared" si="21"/>
        <v>0</v>
      </c>
      <c r="C138" s="286">
        <f t="shared" si="21"/>
        <v>0</v>
      </c>
      <c r="D138" s="286">
        <f t="shared" si="21"/>
        <v>0</v>
      </c>
      <c r="E138" s="286">
        <f t="shared" si="21"/>
        <v>0</v>
      </c>
      <c r="F138" s="286">
        <f t="shared" si="21"/>
        <v>0</v>
      </c>
      <c r="G138" s="286">
        <f t="shared" si="21"/>
        <v>0</v>
      </c>
      <c r="H138" s="286">
        <f t="shared" si="21"/>
        <v>0</v>
      </c>
    </row>
    <row r="139" spans="1:8">
      <c r="A139" s="98">
        <f t="shared" si="19"/>
        <v>0</v>
      </c>
      <c r="B139" s="286">
        <f t="shared" si="21"/>
        <v>0</v>
      </c>
      <c r="C139" s="286">
        <f t="shared" si="21"/>
        <v>0</v>
      </c>
      <c r="D139" s="286">
        <f t="shared" si="21"/>
        <v>0</v>
      </c>
      <c r="E139" s="286">
        <f t="shared" si="21"/>
        <v>0</v>
      </c>
      <c r="F139" s="286">
        <f t="shared" si="21"/>
        <v>0</v>
      </c>
      <c r="G139" s="286">
        <f t="shared" si="21"/>
        <v>0</v>
      </c>
      <c r="H139" s="286">
        <f t="shared" si="21"/>
        <v>0</v>
      </c>
    </row>
    <row r="140" spans="1:8">
      <c r="A140" s="98">
        <f t="shared" si="19"/>
        <v>0</v>
      </c>
      <c r="B140" s="286">
        <f t="shared" ref="B140:H141" si="22">B88-(B88*$G$6)</f>
        <v>0</v>
      </c>
      <c r="C140" s="286">
        <f t="shared" si="22"/>
        <v>0</v>
      </c>
      <c r="D140" s="286">
        <f t="shared" si="22"/>
        <v>0</v>
      </c>
      <c r="E140" s="286">
        <f t="shared" si="22"/>
        <v>0</v>
      </c>
      <c r="F140" s="286">
        <f t="shared" si="22"/>
        <v>0</v>
      </c>
      <c r="G140" s="286">
        <f t="shared" si="22"/>
        <v>0</v>
      </c>
      <c r="H140" s="286">
        <f t="shared" si="22"/>
        <v>0</v>
      </c>
    </row>
    <row r="141" spans="1:8">
      <c r="A141" s="98">
        <f t="shared" si="19"/>
        <v>0</v>
      </c>
      <c r="B141" s="286">
        <f t="shared" si="22"/>
        <v>0</v>
      </c>
      <c r="C141" s="286">
        <f t="shared" si="22"/>
        <v>0</v>
      </c>
      <c r="D141" s="286">
        <f t="shared" si="22"/>
        <v>0</v>
      </c>
      <c r="E141" s="286">
        <f t="shared" si="22"/>
        <v>0</v>
      </c>
      <c r="F141" s="286">
        <f t="shared" si="22"/>
        <v>0</v>
      </c>
      <c r="G141" s="286">
        <f t="shared" si="22"/>
        <v>0</v>
      </c>
      <c r="H141" s="286">
        <f t="shared" si="22"/>
        <v>0</v>
      </c>
    </row>
    <row r="142" spans="1:8">
      <c r="A142" s="98"/>
      <c r="B142" s="286"/>
      <c r="C142" s="286"/>
      <c r="D142" s="286"/>
      <c r="E142" s="286"/>
      <c r="F142" s="286"/>
      <c r="G142" s="286"/>
      <c r="H142" s="286"/>
    </row>
    <row r="143" spans="1:8">
      <c r="A143" s="100" t="str">
        <f t="shared" ref="A143:A161" si="23">A91</f>
        <v>Fruit  &amp; Vegetables Crop Production Details</v>
      </c>
      <c r="B143" s="286"/>
      <c r="C143" s="286"/>
      <c r="D143" s="286"/>
      <c r="E143" s="286"/>
      <c r="F143" s="286"/>
      <c r="G143" s="286"/>
      <c r="H143" s="286"/>
    </row>
    <row r="144" spans="1:8">
      <c r="A144" s="98" t="str">
        <f t="shared" si="23"/>
        <v>Onion</v>
      </c>
      <c r="B144" s="286">
        <f t="shared" ref="B144:H153" si="24">B92-(B92*$G$7)</f>
        <v>0</v>
      </c>
      <c r="C144" s="286">
        <f t="shared" si="24"/>
        <v>0</v>
      </c>
      <c r="D144" s="286">
        <f t="shared" si="24"/>
        <v>0</v>
      </c>
      <c r="E144" s="286">
        <f t="shared" si="24"/>
        <v>0</v>
      </c>
      <c r="F144" s="286">
        <f t="shared" si="24"/>
        <v>0</v>
      </c>
      <c r="G144" s="286">
        <f t="shared" si="24"/>
        <v>0</v>
      </c>
      <c r="H144" s="286">
        <f t="shared" si="24"/>
        <v>0</v>
      </c>
    </row>
    <row r="145" spans="1:8">
      <c r="A145" s="98" t="str">
        <f t="shared" si="23"/>
        <v>Tomato</v>
      </c>
      <c r="B145" s="286">
        <f t="shared" si="24"/>
        <v>0</v>
      </c>
      <c r="C145" s="286">
        <f t="shared" si="24"/>
        <v>0</v>
      </c>
      <c r="D145" s="286">
        <f t="shared" si="24"/>
        <v>0</v>
      </c>
      <c r="E145" s="286">
        <f t="shared" si="24"/>
        <v>0</v>
      </c>
      <c r="F145" s="286">
        <f t="shared" si="24"/>
        <v>0</v>
      </c>
      <c r="G145" s="286">
        <f t="shared" si="24"/>
        <v>0</v>
      </c>
      <c r="H145" s="286">
        <f t="shared" si="24"/>
        <v>0</v>
      </c>
    </row>
    <row r="146" spans="1:8">
      <c r="A146" s="98" t="str">
        <f t="shared" si="23"/>
        <v>Okra</v>
      </c>
      <c r="B146" s="286">
        <f t="shared" si="24"/>
        <v>0</v>
      </c>
      <c r="C146" s="286">
        <f t="shared" si="24"/>
        <v>0</v>
      </c>
      <c r="D146" s="286">
        <f t="shared" si="24"/>
        <v>0</v>
      </c>
      <c r="E146" s="286">
        <f t="shared" si="24"/>
        <v>0</v>
      </c>
      <c r="F146" s="286">
        <f t="shared" si="24"/>
        <v>0</v>
      </c>
      <c r="G146" s="286">
        <f t="shared" si="24"/>
        <v>0</v>
      </c>
      <c r="H146" s="286">
        <f t="shared" si="24"/>
        <v>0</v>
      </c>
    </row>
    <row r="147" spans="1:8">
      <c r="A147" s="98" t="str">
        <f t="shared" si="23"/>
        <v>Chilli</v>
      </c>
      <c r="B147" s="286">
        <f t="shared" si="24"/>
        <v>0</v>
      </c>
      <c r="C147" s="286">
        <f t="shared" si="24"/>
        <v>0</v>
      </c>
      <c r="D147" s="286">
        <f t="shared" si="24"/>
        <v>0</v>
      </c>
      <c r="E147" s="286">
        <f t="shared" si="24"/>
        <v>0</v>
      </c>
      <c r="F147" s="286">
        <f t="shared" si="24"/>
        <v>0</v>
      </c>
      <c r="G147" s="286">
        <f t="shared" si="24"/>
        <v>0</v>
      </c>
      <c r="H147" s="286">
        <f t="shared" si="24"/>
        <v>0</v>
      </c>
    </row>
    <row r="148" spans="1:8">
      <c r="A148" s="98" t="str">
        <f t="shared" si="23"/>
        <v>Potato</v>
      </c>
      <c r="B148" s="286">
        <f t="shared" si="24"/>
        <v>0</v>
      </c>
      <c r="C148" s="286">
        <f t="shared" si="24"/>
        <v>0</v>
      </c>
      <c r="D148" s="286">
        <f t="shared" si="24"/>
        <v>0</v>
      </c>
      <c r="E148" s="286">
        <f t="shared" si="24"/>
        <v>0</v>
      </c>
      <c r="F148" s="286">
        <f t="shared" si="24"/>
        <v>0</v>
      </c>
      <c r="G148" s="286">
        <f t="shared" si="24"/>
        <v>0</v>
      </c>
      <c r="H148" s="286">
        <f t="shared" si="24"/>
        <v>0</v>
      </c>
    </row>
    <row r="149" spans="1:8">
      <c r="A149" s="98">
        <f t="shared" si="23"/>
        <v>0</v>
      </c>
      <c r="B149" s="286">
        <f t="shared" si="24"/>
        <v>0</v>
      </c>
      <c r="C149" s="286">
        <f t="shared" si="24"/>
        <v>0</v>
      </c>
      <c r="D149" s="286">
        <f t="shared" si="24"/>
        <v>0</v>
      </c>
      <c r="E149" s="286">
        <f t="shared" si="24"/>
        <v>0</v>
      </c>
      <c r="F149" s="286">
        <f t="shared" si="24"/>
        <v>0</v>
      </c>
      <c r="G149" s="286">
        <f t="shared" si="24"/>
        <v>0</v>
      </c>
      <c r="H149" s="286">
        <f t="shared" si="24"/>
        <v>0</v>
      </c>
    </row>
    <row r="150" spans="1:8">
      <c r="A150" s="98">
        <f t="shared" si="23"/>
        <v>0</v>
      </c>
      <c r="B150" s="286">
        <f t="shared" si="24"/>
        <v>0</v>
      </c>
      <c r="C150" s="286">
        <f t="shared" si="24"/>
        <v>0</v>
      </c>
      <c r="D150" s="286">
        <f t="shared" si="24"/>
        <v>0</v>
      </c>
      <c r="E150" s="286">
        <f t="shared" si="24"/>
        <v>0</v>
      </c>
      <c r="F150" s="286">
        <f t="shared" si="24"/>
        <v>0</v>
      </c>
      <c r="G150" s="286">
        <f t="shared" si="24"/>
        <v>0</v>
      </c>
      <c r="H150" s="286">
        <f t="shared" si="24"/>
        <v>0</v>
      </c>
    </row>
    <row r="151" spans="1:8">
      <c r="A151" s="98">
        <f t="shared" si="23"/>
        <v>0</v>
      </c>
      <c r="B151" s="286">
        <f t="shared" si="24"/>
        <v>0</v>
      </c>
      <c r="C151" s="286">
        <f t="shared" si="24"/>
        <v>0</v>
      </c>
      <c r="D151" s="286">
        <f t="shared" si="24"/>
        <v>0</v>
      </c>
      <c r="E151" s="286">
        <f t="shared" si="24"/>
        <v>0</v>
      </c>
      <c r="F151" s="286">
        <f t="shared" si="24"/>
        <v>0</v>
      </c>
      <c r="G151" s="286">
        <f t="shared" si="24"/>
        <v>0</v>
      </c>
      <c r="H151" s="286">
        <f t="shared" si="24"/>
        <v>0</v>
      </c>
    </row>
    <row r="152" spans="1:8">
      <c r="A152" s="98">
        <f t="shared" si="23"/>
        <v>0</v>
      </c>
      <c r="B152" s="286">
        <f t="shared" si="24"/>
        <v>0</v>
      </c>
      <c r="C152" s="286">
        <f t="shared" si="24"/>
        <v>0</v>
      </c>
      <c r="D152" s="286">
        <f t="shared" si="24"/>
        <v>0</v>
      </c>
      <c r="E152" s="286">
        <f t="shared" si="24"/>
        <v>0</v>
      </c>
      <c r="F152" s="286">
        <f t="shared" si="24"/>
        <v>0</v>
      </c>
      <c r="G152" s="286">
        <f t="shared" si="24"/>
        <v>0</v>
      </c>
      <c r="H152" s="286">
        <f t="shared" si="24"/>
        <v>0</v>
      </c>
    </row>
    <row r="153" spans="1:8">
      <c r="A153" s="98" t="str">
        <f t="shared" si="23"/>
        <v>Onion</v>
      </c>
      <c r="B153" s="286">
        <f t="shared" si="24"/>
        <v>0</v>
      </c>
      <c r="C153" s="286">
        <f t="shared" si="24"/>
        <v>0</v>
      </c>
      <c r="D153" s="286">
        <f t="shared" si="24"/>
        <v>0</v>
      </c>
      <c r="E153" s="286">
        <f t="shared" si="24"/>
        <v>0</v>
      </c>
      <c r="F153" s="286">
        <f t="shared" si="24"/>
        <v>0</v>
      </c>
      <c r="G153" s="286">
        <f t="shared" si="24"/>
        <v>0</v>
      </c>
      <c r="H153" s="286">
        <f t="shared" si="24"/>
        <v>0</v>
      </c>
    </row>
    <row r="154" spans="1:8">
      <c r="A154" s="98" t="str">
        <f t="shared" si="23"/>
        <v>Tomato</v>
      </c>
      <c r="B154" s="286">
        <f t="shared" ref="B154:H161" si="25">B102-(B102*$G$7)</f>
        <v>0</v>
      </c>
      <c r="C154" s="286">
        <f t="shared" si="25"/>
        <v>0</v>
      </c>
      <c r="D154" s="286">
        <f t="shared" si="25"/>
        <v>0</v>
      </c>
      <c r="E154" s="286">
        <f t="shared" si="25"/>
        <v>0</v>
      </c>
      <c r="F154" s="286">
        <f t="shared" si="25"/>
        <v>0</v>
      </c>
      <c r="G154" s="286">
        <f t="shared" si="25"/>
        <v>0</v>
      </c>
      <c r="H154" s="286">
        <f t="shared" si="25"/>
        <v>0</v>
      </c>
    </row>
    <row r="155" spans="1:8">
      <c r="A155" s="98" t="str">
        <f t="shared" si="23"/>
        <v>Okra</v>
      </c>
      <c r="B155" s="286">
        <f t="shared" si="25"/>
        <v>0</v>
      </c>
      <c r="C155" s="286">
        <f t="shared" si="25"/>
        <v>0</v>
      </c>
      <c r="D155" s="286">
        <f t="shared" si="25"/>
        <v>0</v>
      </c>
      <c r="E155" s="286">
        <f t="shared" si="25"/>
        <v>0</v>
      </c>
      <c r="F155" s="286">
        <f t="shared" si="25"/>
        <v>0</v>
      </c>
      <c r="G155" s="286">
        <f t="shared" si="25"/>
        <v>0</v>
      </c>
      <c r="H155" s="286">
        <f t="shared" si="25"/>
        <v>0</v>
      </c>
    </row>
    <row r="156" spans="1:8">
      <c r="A156" s="98" t="str">
        <f t="shared" si="23"/>
        <v>Chilli</v>
      </c>
      <c r="B156" s="286">
        <f t="shared" si="25"/>
        <v>0</v>
      </c>
      <c r="C156" s="286">
        <f t="shared" si="25"/>
        <v>0</v>
      </c>
      <c r="D156" s="286">
        <f t="shared" si="25"/>
        <v>0</v>
      </c>
      <c r="E156" s="286">
        <f t="shared" si="25"/>
        <v>0</v>
      </c>
      <c r="F156" s="286">
        <f t="shared" si="25"/>
        <v>0</v>
      </c>
      <c r="G156" s="286">
        <f t="shared" si="25"/>
        <v>0</v>
      </c>
      <c r="H156" s="286">
        <f t="shared" si="25"/>
        <v>0</v>
      </c>
    </row>
    <row r="157" spans="1:8">
      <c r="A157" s="98" t="str">
        <f t="shared" si="23"/>
        <v>Brinjal</v>
      </c>
      <c r="B157" s="286">
        <f t="shared" si="25"/>
        <v>0</v>
      </c>
      <c r="C157" s="286">
        <f t="shared" si="25"/>
        <v>0</v>
      </c>
      <c r="D157" s="286">
        <f t="shared" si="25"/>
        <v>0</v>
      </c>
      <c r="E157" s="286">
        <f t="shared" si="25"/>
        <v>0</v>
      </c>
      <c r="F157" s="286">
        <f t="shared" si="25"/>
        <v>0</v>
      </c>
      <c r="G157" s="286">
        <f t="shared" si="25"/>
        <v>0</v>
      </c>
      <c r="H157" s="286">
        <f t="shared" si="25"/>
        <v>0</v>
      </c>
    </row>
    <row r="158" spans="1:8">
      <c r="A158" s="98">
        <f t="shared" si="23"/>
        <v>0</v>
      </c>
      <c r="B158" s="286">
        <f t="shared" si="25"/>
        <v>0</v>
      </c>
      <c r="C158" s="286">
        <f t="shared" si="25"/>
        <v>0</v>
      </c>
      <c r="D158" s="286">
        <f t="shared" si="25"/>
        <v>0</v>
      </c>
      <c r="E158" s="286">
        <f t="shared" si="25"/>
        <v>0</v>
      </c>
      <c r="F158" s="286">
        <f t="shared" si="25"/>
        <v>0</v>
      </c>
      <c r="G158" s="286">
        <f t="shared" si="25"/>
        <v>0</v>
      </c>
      <c r="H158" s="286">
        <f t="shared" si="25"/>
        <v>0</v>
      </c>
    </row>
    <row r="159" spans="1:8">
      <c r="A159" s="98">
        <f t="shared" si="23"/>
        <v>0</v>
      </c>
      <c r="B159" s="286">
        <f t="shared" si="25"/>
        <v>0</v>
      </c>
      <c r="C159" s="286">
        <f t="shared" si="25"/>
        <v>0</v>
      </c>
      <c r="D159" s="286">
        <f t="shared" si="25"/>
        <v>0</v>
      </c>
      <c r="E159" s="286">
        <f t="shared" si="25"/>
        <v>0</v>
      </c>
      <c r="F159" s="286">
        <f t="shared" si="25"/>
        <v>0</v>
      </c>
      <c r="G159" s="286">
        <f t="shared" si="25"/>
        <v>0</v>
      </c>
      <c r="H159" s="286">
        <f t="shared" si="25"/>
        <v>0</v>
      </c>
    </row>
    <row r="160" spans="1:8">
      <c r="A160" s="98">
        <f t="shared" si="23"/>
        <v>0</v>
      </c>
      <c r="B160" s="286">
        <f t="shared" si="25"/>
        <v>0</v>
      </c>
      <c r="C160" s="286">
        <f t="shared" si="25"/>
        <v>0</v>
      </c>
      <c r="D160" s="286">
        <f t="shared" si="25"/>
        <v>0</v>
      </c>
      <c r="E160" s="286">
        <f t="shared" si="25"/>
        <v>0</v>
      </c>
      <c r="F160" s="286">
        <f t="shared" si="25"/>
        <v>0</v>
      </c>
      <c r="G160" s="286">
        <f t="shared" si="25"/>
        <v>0</v>
      </c>
      <c r="H160" s="286">
        <f t="shared" si="25"/>
        <v>0</v>
      </c>
    </row>
    <row r="161" spans="1:20">
      <c r="A161" s="98">
        <f t="shared" si="23"/>
        <v>0</v>
      </c>
      <c r="B161" s="286">
        <f t="shared" si="25"/>
        <v>0</v>
      </c>
      <c r="C161" s="286">
        <f t="shared" si="25"/>
        <v>0</v>
      </c>
      <c r="D161" s="286">
        <f t="shared" si="25"/>
        <v>0</v>
      </c>
      <c r="E161" s="286">
        <f t="shared" si="25"/>
        <v>0</v>
      </c>
      <c r="F161" s="286">
        <f t="shared" si="25"/>
        <v>0</v>
      </c>
      <c r="G161" s="286">
        <f t="shared" si="25"/>
        <v>0</v>
      </c>
      <c r="H161" s="286">
        <f t="shared" si="25"/>
        <v>0</v>
      </c>
    </row>
    <row r="162" spans="1:20">
      <c r="A162" s="98">
        <f t="shared" ref="A162:A165" si="26">A110</f>
        <v>0</v>
      </c>
      <c r="B162" s="286">
        <f t="shared" ref="B162:H162" si="27">B110-(B110*$G$7)</f>
        <v>0</v>
      </c>
      <c r="C162" s="286">
        <f t="shared" si="27"/>
        <v>0</v>
      </c>
      <c r="D162" s="286">
        <f t="shared" si="27"/>
        <v>0</v>
      </c>
      <c r="E162" s="286">
        <f t="shared" si="27"/>
        <v>0</v>
      </c>
      <c r="F162" s="286">
        <f t="shared" si="27"/>
        <v>0</v>
      </c>
      <c r="G162" s="286">
        <f t="shared" si="27"/>
        <v>0</v>
      </c>
      <c r="H162" s="286">
        <f t="shared" si="27"/>
        <v>0</v>
      </c>
    </row>
    <row r="163" spans="1:20">
      <c r="A163" s="98">
        <f t="shared" si="26"/>
        <v>0</v>
      </c>
      <c r="B163" s="286">
        <f t="shared" ref="B163:H163" si="28">B111-(B111*$G$7)</f>
        <v>0</v>
      </c>
      <c r="C163" s="286">
        <f t="shared" si="28"/>
        <v>0</v>
      </c>
      <c r="D163" s="286">
        <f t="shared" si="28"/>
        <v>0</v>
      </c>
      <c r="E163" s="286">
        <f t="shared" si="28"/>
        <v>0</v>
      </c>
      <c r="F163" s="286">
        <f t="shared" si="28"/>
        <v>0</v>
      </c>
      <c r="G163" s="286">
        <f t="shared" si="28"/>
        <v>0</v>
      </c>
      <c r="H163" s="286">
        <f t="shared" si="28"/>
        <v>0</v>
      </c>
    </row>
    <row r="164" spans="1:20">
      <c r="A164" s="98">
        <f t="shared" si="26"/>
        <v>0</v>
      </c>
      <c r="B164" s="286">
        <f t="shared" ref="B164:H165" si="29">B112-(B112*$G$7)</f>
        <v>0</v>
      </c>
      <c r="C164" s="286">
        <f t="shared" si="29"/>
        <v>0</v>
      </c>
      <c r="D164" s="286">
        <f t="shared" si="29"/>
        <v>0</v>
      </c>
      <c r="E164" s="286">
        <f t="shared" si="29"/>
        <v>0</v>
      </c>
      <c r="F164" s="286">
        <f t="shared" si="29"/>
        <v>0</v>
      </c>
      <c r="G164" s="286">
        <f t="shared" si="29"/>
        <v>0</v>
      </c>
      <c r="H164" s="286">
        <f t="shared" si="29"/>
        <v>0</v>
      </c>
    </row>
    <row r="165" spans="1:20">
      <c r="A165" s="98" t="str">
        <f t="shared" si="26"/>
        <v>Pomegranate</v>
      </c>
      <c r="B165" s="286">
        <f t="shared" si="29"/>
        <v>0</v>
      </c>
      <c r="C165" s="286">
        <f t="shared" ref="C165:H168" si="30">C113-(C113*$G$7)</f>
        <v>0</v>
      </c>
      <c r="D165" s="286">
        <f t="shared" si="30"/>
        <v>0</v>
      </c>
      <c r="E165" s="286">
        <f t="shared" si="30"/>
        <v>0</v>
      </c>
      <c r="F165" s="286">
        <f t="shared" si="30"/>
        <v>0</v>
      </c>
      <c r="G165" s="286">
        <f t="shared" si="30"/>
        <v>0</v>
      </c>
      <c r="H165" s="286">
        <f t="shared" si="30"/>
        <v>0</v>
      </c>
    </row>
    <row r="166" spans="1:20">
      <c r="A166" s="98" t="str">
        <f>A114</f>
        <v>Custard Apple</v>
      </c>
      <c r="B166" s="286">
        <f>B114-(B114*$G$7)</f>
        <v>0</v>
      </c>
      <c r="C166" s="286">
        <f t="shared" si="30"/>
        <v>0</v>
      </c>
      <c r="D166" s="286">
        <f t="shared" si="30"/>
        <v>0</v>
      </c>
      <c r="E166" s="286">
        <f t="shared" si="30"/>
        <v>0</v>
      </c>
      <c r="F166" s="286">
        <f t="shared" si="30"/>
        <v>0</v>
      </c>
      <c r="G166" s="286">
        <f t="shared" si="30"/>
        <v>0</v>
      </c>
      <c r="H166" s="286">
        <f t="shared" si="30"/>
        <v>0</v>
      </c>
    </row>
    <row r="167" spans="1:20">
      <c r="A167" s="98" t="str">
        <f>A115</f>
        <v>Guava</v>
      </c>
      <c r="B167" s="286">
        <f>B115-(B115*$G$7)</f>
        <v>0</v>
      </c>
      <c r="C167" s="286">
        <f t="shared" si="30"/>
        <v>0</v>
      </c>
      <c r="D167" s="286">
        <f t="shared" si="30"/>
        <v>0</v>
      </c>
      <c r="E167" s="286">
        <f t="shared" si="30"/>
        <v>0</v>
      </c>
      <c r="F167" s="286">
        <f t="shared" si="30"/>
        <v>0</v>
      </c>
      <c r="G167" s="286">
        <f t="shared" si="30"/>
        <v>0</v>
      </c>
      <c r="H167" s="286">
        <f t="shared" si="30"/>
        <v>0</v>
      </c>
    </row>
    <row r="168" spans="1:20">
      <c r="A168" s="98" t="str">
        <f>A116</f>
        <v>Citrus</v>
      </c>
      <c r="B168" s="286">
        <f>B116-(B116*$G$7)</f>
        <v>0</v>
      </c>
      <c r="C168" s="286">
        <f t="shared" si="30"/>
        <v>0</v>
      </c>
      <c r="D168" s="286">
        <f t="shared" si="30"/>
        <v>0</v>
      </c>
      <c r="E168" s="286">
        <f t="shared" si="30"/>
        <v>0</v>
      </c>
      <c r="F168" s="286">
        <f t="shared" si="30"/>
        <v>0</v>
      </c>
      <c r="G168" s="286">
        <f t="shared" si="30"/>
        <v>0</v>
      </c>
      <c r="H168" s="286">
        <f t="shared" si="30"/>
        <v>0</v>
      </c>
    </row>
    <row r="169" spans="1:20">
      <c r="A169" s="186"/>
    </row>
    <row r="170" spans="1:20" ht="18.75">
      <c r="A170" s="414" t="s">
        <v>573</v>
      </c>
      <c r="B170" s="414"/>
      <c r="C170" s="414"/>
      <c r="D170" s="414"/>
      <c r="E170" s="414"/>
      <c r="F170" s="414"/>
      <c r="G170" s="414"/>
      <c r="H170" s="414"/>
      <c r="I170" s="414"/>
      <c r="J170" s="414"/>
    </row>
    <row r="171" spans="1:20">
      <c r="A171" s="16"/>
      <c r="B171" s="16"/>
      <c r="C171" s="16"/>
      <c r="D171" s="16"/>
      <c r="E171" s="16"/>
      <c r="F171" s="16"/>
      <c r="G171" s="16"/>
      <c r="H171" s="16"/>
    </row>
    <row r="172" spans="1:20">
      <c r="A172" s="196"/>
      <c r="B172" s="196"/>
      <c r="C172" s="196"/>
      <c r="D172" s="197">
        <v>1</v>
      </c>
      <c r="E172" s="198">
        <f>(D172*5%)+D172</f>
        <v>1.05</v>
      </c>
      <c r="F172" s="198">
        <f t="shared" ref="F172:J172" si="31">(E172*5%)+E172</f>
        <v>1.1025</v>
      </c>
      <c r="G172" s="198">
        <f t="shared" si="31"/>
        <v>1.1576250000000001</v>
      </c>
      <c r="H172" s="198">
        <f t="shared" si="31"/>
        <v>1.2155062500000002</v>
      </c>
      <c r="I172" s="198">
        <f t="shared" si="31"/>
        <v>1.2762815625000004</v>
      </c>
      <c r="J172" s="198">
        <f t="shared" si="31"/>
        <v>1.3400956406250004</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151</v>
      </c>
      <c r="D175" s="83" t="s">
        <v>2</v>
      </c>
      <c r="E175" s="83" t="s">
        <v>3</v>
      </c>
      <c r="F175" s="83" t="s">
        <v>4</v>
      </c>
      <c r="G175" s="83" t="s">
        <v>5</v>
      </c>
      <c r="H175" s="83" t="s">
        <v>6</v>
      </c>
      <c r="I175" s="83" t="s">
        <v>167</v>
      </c>
      <c r="J175" s="83" t="s">
        <v>166</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361</v>
      </c>
      <c r="C178" s="250">
        <v>6500</v>
      </c>
      <c r="D178" s="199">
        <f>(B120*(1-'5.Closing Stock &amp; W Capital'!$D$15))*C$178*D172</f>
        <v>7463974.0031999992</v>
      </c>
      <c r="E178" s="199">
        <f>((C120*(1-'5.Closing Stock &amp; W Capital'!$D$15))+(B120*'5.Closing Stock &amp; W Capital'!$D$15))*$C178*E$172</f>
        <v>11102661.329759998</v>
      </c>
      <c r="F178" s="199">
        <f>((D120*(1-'5.Closing Stock &amp; W Capital'!$D$15))+(C120*'5.Closing Stock &amp; W Capital'!$D$15))*$C178*F$172</f>
        <v>13372175.925107999</v>
      </c>
      <c r="G178" s="199">
        <f>((E120*(1-'5.Closing Stock &amp; W Capital'!$D$15))+(D120*'5.Closing Stock &amp; W Capital'!$D$15))*$C178*G$172</f>
        <v>15840885.326666402</v>
      </c>
      <c r="H178" s="199">
        <f>((F120*(1-'5.Closing Stock &amp; W Capital'!$D$15))+(E120*'5.Closing Stock &amp; W Capital'!$D$15))*$C178*H$172</f>
        <v>18523035.228567868</v>
      </c>
      <c r="I178" s="199">
        <f>((G120*(1-'5.Closing Stock &amp; W Capital'!$D$15))+(F120*'5.Closing Stock &amp; W Capital'!$D$15))*$C178*I$172</f>
        <v>21433797.907342825</v>
      </c>
      <c r="J178" s="199">
        <f>((H120*(1-'5.Closing Stock &amp; W Capital'!$D$15))+(G120*'5.Closing Stock &amp; W Capital'!$D$15))*$C178*J$172</f>
        <v>24589329.265923858</v>
      </c>
      <c r="K178" s="93"/>
      <c r="L178" s="93"/>
    </row>
    <row r="179" spans="1:12">
      <c r="A179" s="94" t="str">
        <f t="shared" si="32"/>
        <v>Tur</v>
      </c>
      <c r="B179" s="94" t="s">
        <v>361</v>
      </c>
      <c r="C179" s="250">
        <v>6500</v>
      </c>
      <c r="D179" s="199">
        <f>(B121*(1-'5.Closing Stock &amp; W Capital'!$D$15))*$C179*D$172</f>
        <v>895299.91200000001</v>
      </c>
      <c r="E179" s="199">
        <f>((C121*(1-'5.Closing Stock &amp; W Capital'!$D$15))+(B121*'5.Closing Stock &amp; W Capital'!$D$15))*$C179*E$172</f>
        <v>1331758.6191</v>
      </c>
      <c r="F179" s="199">
        <f>((D121*(1-'5.Closing Stock &amp; W Capital'!$D$15))+(C121*'5.Closing Stock &amp; W Capital'!$D$15))*$C179*F$172</f>
        <v>1603985.7485924999</v>
      </c>
      <c r="G179" s="199">
        <f>((E121*(1-'5.Closing Stock &amp; W Capital'!$D$15))+(D121*'5.Closing Stock &amp; W Capital'!$D$15))*$C179*G$172</f>
        <v>1900106.1944865</v>
      </c>
      <c r="H179" s="199">
        <f>((F121*(1-'5.Closing Stock &amp; W Capital'!$D$15))+(E121*'5.Closing Stock &amp; W Capital'!$D$15))*$C179*H$172</f>
        <v>2221828.7205984192</v>
      </c>
      <c r="I179" s="199">
        <f>((G121*(1-'5.Closing Stock &amp; W Capital'!$D$15))+(F121*'5.Closing Stock &amp; W Capital'!$D$15))*$C179*I$172</f>
        <v>2570973.2338353139</v>
      </c>
      <c r="J179" s="199">
        <f>((H121*(1-'5.Closing Stock &amp; W Capital'!$D$15))+(G121*'5.Closing Stock &amp; W Capital'!$D$15))*$C179*J$172</f>
        <v>2949477.6265944019</v>
      </c>
      <c r="K179" s="93"/>
      <c r="L179" s="93"/>
    </row>
    <row r="180" spans="1:12">
      <c r="A180" s="94" t="str">
        <f t="shared" si="32"/>
        <v>Turmeric</v>
      </c>
      <c r="B180" s="94" t="s">
        <v>361</v>
      </c>
      <c r="C180" s="250">
        <v>10000</v>
      </c>
      <c r="D180" s="199">
        <f>(B122*(1-'5.Closing Stock &amp; W Capital'!$D$15))*$C180*D$172</f>
        <v>19521162.777600002</v>
      </c>
      <c r="E180" s="199">
        <f>((C122*(1-'5.Closing Stock &amp; W Capital'!$D$15))+(B122*'5.Closing Stock &amp; W Capital'!$D$15))*$C180*E$172</f>
        <v>29037729.631680008</v>
      </c>
      <c r="F180" s="199">
        <f>((D122*(1-'5.Closing Stock &amp; W Capital'!$D$15))+(C122*'5.Closing Stock &amp; W Capital'!$D$15))*$C180*F$172</f>
        <v>34973383.188744009</v>
      </c>
      <c r="G180" s="199">
        <f>((E122*(1-'5.Closing Stock &amp; W Capital'!$D$15))+(D122*'5.Closing Stock &amp; W Capital'!$D$15))*$C180*G$172</f>
        <v>41430007.777435213</v>
      </c>
      <c r="H180" s="199">
        <f>((F122*(1-'5.Closing Stock &amp; W Capital'!$D$15))+(E122*'5.Closing Stock &amp; W Capital'!$D$15))*$C180*H$172</f>
        <v>48444861.367023677</v>
      </c>
      <c r="I180" s="199">
        <f>((G122*(1-'5.Closing Stock &amp; W Capital'!$D$15))+(F122*'5.Closing Stock &amp; W Capital'!$D$15))*$C180*I$172</f>
        <v>56057625.296127386</v>
      </c>
      <c r="J180" s="199">
        <f>((H122*(1-'5.Closing Stock &amp; W Capital'!$D$15))+(G122*'5.Closing Stock &amp; W Capital'!$D$15))*$C180*J$172</f>
        <v>64310553.46472393</v>
      </c>
      <c r="K180" s="93"/>
      <c r="L180" s="93"/>
    </row>
    <row r="181" spans="1:12">
      <c r="A181" s="94" t="str">
        <f t="shared" si="32"/>
        <v>Moong</v>
      </c>
      <c r="B181" s="94" t="s">
        <v>361</v>
      </c>
      <c r="C181" s="250">
        <v>5500</v>
      </c>
      <c r="D181" s="199">
        <f>(B123*(1-'5.Closing Stock &amp; W Capital'!$D$15))*$C181*D$172</f>
        <v>552621.15216000017</v>
      </c>
      <c r="E181" s="199">
        <f>((C123*(1-'5.Closing Stock &amp; W Capital'!$D$15))+(B123*'5.Closing Stock &amp; W Capital'!$D$15))*$C181*E$172</f>
        <v>822023.9638380002</v>
      </c>
      <c r="F181" s="199">
        <f>((D123*(1-'5.Closing Stock &amp; W Capital'!$D$15))+(C123*'5.Closing Stock &amp; W Capital'!$D$15))*$C181*F$172</f>
        <v>990055.33291665011</v>
      </c>
      <c r="G181" s="199">
        <f>((E123*(1-'5.Closing Stock &amp; W Capital'!$D$15))+(D123*'5.Closing Stock &amp; W Capital'!$D$15))*$C181*G$172</f>
        <v>1172834.77899357</v>
      </c>
      <c r="H181" s="199">
        <f>((F123*(1-'5.Closing Stock &amp; W Capital'!$D$15))+(E123*'5.Closing Stock &amp; W Capital'!$D$15))*$C181*H$172</f>
        <v>1371417.0313458908</v>
      </c>
      <c r="I181" s="199">
        <f>((G123*(1-'5.Closing Stock &amp; W Capital'!$D$15))+(F123*'5.Closing Stock &amp; W Capital'!$D$15))*$C181*I$172</f>
        <v>1586925.4219859594</v>
      </c>
      <c r="J181" s="199">
        <f>((H123*(1-'5.Closing Stock &amp; W Capital'!$D$15))+(G123*'5.Closing Stock &amp; W Capital'!$D$15))*$C181*J$172</f>
        <v>1820556.1091116704</v>
      </c>
      <c r="K181" s="93"/>
      <c r="L181" s="93"/>
    </row>
    <row r="182" spans="1:12">
      <c r="A182" s="94" t="str">
        <f t="shared" si="32"/>
        <v>Maize</v>
      </c>
      <c r="B182" s="94" t="s">
        <v>361</v>
      </c>
      <c r="C182" s="250"/>
      <c r="D182" s="199">
        <f>(B124*(1-'5.Closing Stock &amp; W Capital'!$D$15))*$C182*D$172</f>
        <v>0</v>
      </c>
      <c r="E182" s="199">
        <f>((C124*(1-'5.Closing Stock &amp; W Capital'!$D$15))+(B124*'5.Closing Stock &amp; W Capital'!$D$15))*$C182*E$172</f>
        <v>0</v>
      </c>
      <c r="F182" s="199">
        <f>((D124*(1-'5.Closing Stock &amp; W Capital'!$D$15))+(C124*'5.Closing Stock &amp; W Capital'!$D$15))*$C182*F$172</f>
        <v>0</v>
      </c>
      <c r="G182" s="199">
        <f>((E124*(1-'5.Closing Stock &amp; W Capital'!$D$15))+(D124*'5.Closing Stock &amp; W Capital'!$D$15))*$C182*G$172</f>
        <v>0</v>
      </c>
      <c r="H182" s="199">
        <f>((F124*(1-'5.Closing Stock &amp; W Capital'!$D$15))+(E124*'5.Closing Stock &amp; W Capital'!$D$15))*$C182*H$172</f>
        <v>0</v>
      </c>
      <c r="I182" s="199">
        <f>((G124*(1-'5.Closing Stock &amp; W Capital'!$D$15))+(F124*'5.Closing Stock &amp; W Capital'!$D$15))*$C182*I$172</f>
        <v>0</v>
      </c>
      <c r="J182" s="199">
        <f>((H124*(1-'5.Closing Stock &amp; W Capital'!$D$15))+(G124*'5.Closing Stock &amp; W Capital'!$D$15))*$C182*J$172</f>
        <v>0</v>
      </c>
      <c r="K182" s="93"/>
      <c r="L182" s="93"/>
    </row>
    <row r="183" spans="1:12">
      <c r="A183" s="94" t="str">
        <f t="shared" si="32"/>
        <v>Udid</v>
      </c>
      <c r="B183" s="94" t="s">
        <v>361</v>
      </c>
      <c r="C183" s="250">
        <v>6000</v>
      </c>
      <c r="D183" s="199">
        <f>(B125*(1-'5.Closing Stock &amp; W Capital'!$D$15))*$C183*D$172</f>
        <v>688982.21568000014</v>
      </c>
      <c r="E183" s="199">
        <f>((C125*(1-'5.Closing Stock &amp; W Capital'!$D$15))+(B125*'5.Closing Stock &amp; W Capital'!$D$15))*$C183*E$172</f>
        <v>1024861.0458240001</v>
      </c>
      <c r="F183" s="199">
        <f>((D125*(1-'5.Closing Stock &amp; W Capital'!$D$15))+(C125*'5.Closing Stock &amp; W Capital'!$D$15))*$C183*F$172</f>
        <v>1234354.7007792001</v>
      </c>
      <c r="G183" s="199">
        <f>((E125*(1-'5.Closing Stock &amp; W Capital'!$D$15))+(D125*'5.Closing Stock &amp; W Capital'!$D$15))*$C183*G$172</f>
        <v>1462235.5686153604</v>
      </c>
      <c r="H183" s="199">
        <f>((F125*(1-'5.Closing Stock &amp; W Capital'!$D$15))+(E125*'5.Closing Stock &amp; W Capital'!$D$15))*$C183*H$172</f>
        <v>1709818.6364831883</v>
      </c>
      <c r="I183" s="199">
        <f>((G125*(1-'5.Closing Stock &amp; W Capital'!$D$15))+(F125*'5.Closing Stock &amp; W Capital'!$D$15))*$C183*I$172</f>
        <v>1978504.422216261</v>
      </c>
      <c r="J183" s="199">
        <f>((H125*(1-'5.Closing Stock &amp; W Capital'!$D$15))+(G125*'5.Closing Stock &amp; W Capital'!$D$15))*$C183*J$172</f>
        <v>2269784.239931433</v>
      </c>
      <c r="K183" s="93"/>
      <c r="L183" s="93"/>
    </row>
    <row r="184" spans="1:12">
      <c r="A184" s="94" t="str">
        <f t="shared" si="32"/>
        <v>Bajra</v>
      </c>
      <c r="B184" s="94" t="s">
        <v>361</v>
      </c>
      <c r="C184" s="250">
        <v>0</v>
      </c>
      <c r="D184" s="199">
        <f>(B126*(1-'5.Closing Stock &amp; W Capital'!$D$15))*$C184*D$172</f>
        <v>0</v>
      </c>
      <c r="E184" s="199">
        <f>((C126*(1-'5.Closing Stock &amp; W Capital'!$D$15))+(B126*'5.Closing Stock &amp; W Capital'!$D$15))*$C184*E$172</f>
        <v>0</v>
      </c>
      <c r="F184" s="199">
        <f>((D126*(1-'5.Closing Stock &amp; W Capital'!$D$15))+(C126*'5.Closing Stock &amp; W Capital'!$D$15))*$C184*F$172</f>
        <v>0</v>
      </c>
      <c r="G184" s="199">
        <f>((E126*(1-'5.Closing Stock &amp; W Capital'!$D$15))+(D126*'5.Closing Stock &amp; W Capital'!$D$15))*$C184*G$172</f>
        <v>0</v>
      </c>
      <c r="H184" s="199">
        <f>((F126*(1-'5.Closing Stock &amp; W Capital'!$D$15))+(E126*'5.Closing Stock &amp; W Capital'!$D$15))*$C184*H$172</f>
        <v>0</v>
      </c>
      <c r="I184" s="199">
        <f>((G126*(1-'5.Closing Stock &amp; W Capital'!$D$15))+(F126*'5.Closing Stock &amp; W Capital'!$D$15))*$C184*I$172</f>
        <v>0</v>
      </c>
      <c r="J184" s="199">
        <f>((H126*(1-'5.Closing Stock &amp; W Capital'!$D$15))+(G126*'5.Closing Stock &amp; W Capital'!$D$15))*$C184*J$172</f>
        <v>0</v>
      </c>
      <c r="K184" s="93"/>
      <c r="L184" s="93"/>
    </row>
    <row r="185" spans="1:12">
      <c r="A185" s="94" t="str">
        <f t="shared" si="32"/>
        <v>Jawar</v>
      </c>
      <c r="B185" s="94" t="s">
        <v>361</v>
      </c>
      <c r="C185" s="250">
        <v>2000</v>
      </c>
      <c r="D185" s="199">
        <f>(B127*(1-'5.Closing Stock &amp; W Capital'!$D$15))*$C185*D$172</f>
        <v>281276.40960000001</v>
      </c>
      <c r="E185" s="199">
        <f>((C127*(1-'5.Closing Stock &amp; W Capital'!$D$15))+(B127*'5.Closing Stock &amp; W Capital'!$D$15))*$C185*E$172</f>
        <v>418398.65928000002</v>
      </c>
      <c r="F185" s="199">
        <f>((D127*(1-'5.Closing Stock &amp; W Capital'!$D$15))+(C127*'5.Closing Stock &amp; W Capital'!$D$15))*$C185*F$172</f>
        <v>503924.267574</v>
      </c>
      <c r="G185" s="199">
        <f>((E127*(1-'5.Closing Stock &amp; W Capital'!$D$15))+(D127*'5.Closing Stock &amp; W Capital'!$D$15))*$C185*G$172</f>
        <v>596956.44004920009</v>
      </c>
      <c r="H185" s="199">
        <f>((F127*(1-'5.Closing Stock &amp; W Capital'!$D$15))+(E127*'5.Closing Stock &amp; W Capital'!$D$15))*$C185*H$172</f>
        <v>698032.01910298527</v>
      </c>
      <c r="I185" s="199">
        <f>((G127*(1-'5.Closing Stock &amp; W Capital'!$D$15))+(F127*'5.Closing Stock &amp; W Capital'!$D$15))*$C185*I$172</f>
        <v>807722.76496202569</v>
      </c>
      <c r="J185" s="199">
        <f>((H127*(1-'5.Closing Stock &amp; W Capital'!$D$15))+(G127*'5.Closing Stock &amp; W Capital'!$D$15))*$C185*J$172</f>
        <v>926637.50535921298</v>
      </c>
      <c r="K185" s="93"/>
      <c r="L185" s="93"/>
    </row>
    <row r="186" spans="1:12">
      <c r="A186" s="94" t="str">
        <f t="shared" si="32"/>
        <v>Channa</v>
      </c>
      <c r="B186" s="94" t="s">
        <v>361</v>
      </c>
      <c r="C186" s="250">
        <v>5200</v>
      </c>
      <c r="D186" s="199">
        <f>(B128*(1-'5.Closing Stock &amp; W Capital'!$D$15))*$C186*D$172</f>
        <v>0</v>
      </c>
      <c r="E186" s="199">
        <f>((C128*(1-'5.Closing Stock &amp; W Capital'!$D$15))+(B128*'5.Closing Stock &amp; W Capital'!$D$15))*$C186*E$172</f>
        <v>0</v>
      </c>
      <c r="F186" s="199">
        <f>((D128*(1-'5.Closing Stock &amp; W Capital'!$D$15))+(C128*'5.Closing Stock &amp; W Capital'!$D$15))*$C186*F$172</f>
        <v>0</v>
      </c>
      <c r="G186" s="199">
        <f>((E128*(1-'5.Closing Stock &amp; W Capital'!$D$15))+(D128*'5.Closing Stock &amp; W Capital'!$D$15))*$C186*G$172</f>
        <v>0</v>
      </c>
      <c r="H186" s="199">
        <f>((F128*(1-'5.Closing Stock &amp; W Capital'!$D$15))+(E128*'5.Closing Stock &amp; W Capital'!$D$15))*$C186*H$172</f>
        <v>0</v>
      </c>
      <c r="I186" s="199">
        <f>((G128*(1-'5.Closing Stock &amp; W Capital'!$D$15))+(F128*'5.Closing Stock &amp; W Capital'!$D$15))*$C186*I$172</f>
        <v>0</v>
      </c>
      <c r="J186" s="199">
        <f>((H128*(1-'5.Closing Stock &amp; W Capital'!$D$15))+(G128*'5.Closing Stock &amp; W Capital'!$D$15))*$C186*J$172</f>
        <v>0</v>
      </c>
      <c r="K186" s="93"/>
      <c r="L186" s="93"/>
    </row>
    <row r="187" spans="1:12">
      <c r="A187" s="94" t="str">
        <f t="shared" si="32"/>
        <v>Wheat</v>
      </c>
      <c r="B187" s="94" t="s">
        <v>361</v>
      </c>
      <c r="C187" s="250">
        <v>2200</v>
      </c>
      <c r="D187" s="199">
        <f>(B129*(1-'5.Closing Stock &amp; W Capital'!$D$15))*$C187*D$172</f>
        <v>818166.3811199998</v>
      </c>
      <c r="E187" s="199">
        <f>((C129*(1-'5.Closing Stock &amp; W Capital'!$D$15))+(B129*'5.Closing Stock &amp; W Capital'!$D$15))*$C187*E$172</f>
        <v>1217022.4919159994</v>
      </c>
      <c r="F187" s="199">
        <f>((D129*(1-'5.Closing Stock &amp; W Capital'!$D$15))+(C129*'5.Closing Stock &amp; W Capital'!$D$15))*$C187*F$172</f>
        <v>1465796.2071752995</v>
      </c>
      <c r="G187" s="199">
        <f>((E129*(1-'5.Closing Stock &amp; W Capital'!$D$15))+(D129*'5.Closing Stock &amp; W Capital'!$D$15))*$C187*G$172</f>
        <v>1736404.7377307394</v>
      </c>
      <c r="H187" s="199">
        <f>((F129*(1-'5.Closing Stock &amp; W Capital'!$D$15))+(E129*'5.Closing Stock &amp; W Capital'!$D$15))*$C187*H$172</f>
        <v>2030409.6308237854</v>
      </c>
      <c r="I187" s="199">
        <f>((G129*(1-'5.Closing Stock &amp; W Capital'!$D$15))+(F129*'5.Closing Stock &amp; W Capital'!$D$15))*$C187*I$172</f>
        <v>2349474.0013818094</v>
      </c>
      <c r="J187" s="199">
        <f>((H129*(1-'5.Closing Stock &amp; W Capital'!$D$15))+(G129*'5.Closing Stock &amp; W Capital'!$D$15))*$C187*J$172</f>
        <v>2695368.7849185755</v>
      </c>
      <c r="K187" s="93"/>
      <c r="L187" s="93"/>
    </row>
    <row r="188" spans="1:12">
      <c r="A188" s="94" t="str">
        <f t="shared" si="32"/>
        <v>Channa</v>
      </c>
      <c r="B188" s="94" t="s">
        <v>361</v>
      </c>
      <c r="C188" s="250">
        <v>0</v>
      </c>
      <c r="D188" s="199">
        <f>(B130*(1-'5.Closing Stock &amp; W Capital'!$D$15))*$C188*D$172</f>
        <v>0</v>
      </c>
      <c r="E188" s="199">
        <f>((C130*(1-'5.Closing Stock &amp; W Capital'!$D$15))+(B130*'5.Closing Stock &amp; W Capital'!$D$15))*$C188*E$172</f>
        <v>0</v>
      </c>
      <c r="F188" s="199">
        <f>((D130*(1-'5.Closing Stock &amp; W Capital'!$D$15))+(C130*'5.Closing Stock &amp; W Capital'!$D$15))*$C188*F$172</f>
        <v>0</v>
      </c>
      <c r="G188" s="199">
        <f>((E130*(1-'5.Closing Stock &amp; W Capital'!$D$15))+(D130*'5.Closing Stock &amp; W Capital'!$D$15))*$C188*G$172</f>
        <v>0</v>
      </c>
      <c r="H188" s="199">
        <f>((F130*(1-'5.Closing Stock &amp; W Capital'!$D$15))+(E130*'5.Closing Stock &amp; W Capital'!$D$15))*$C188*H$172</f>
        <v>0</v>
      </c>
      <c r="I188" s="199">
        <f>((G130*(1-'5.Closing Stock &amp; W Capital'!$D$15))+(F130*'5.Closing Stock &amp; W Capital'!$D$15))*$C188*I$172</f>
        <v>0</v>
      </c>
      <c r="J188" s="199">
        <f>((H130*(1-'5.Closing Stock &amp; W Capital'!$D$15))+(G130*'5.Closing Stock &amp; W Capital'!$D$15))*$C188*J$172</f>
        <v>0</v>
      </c>
      <c r="K188" s="93"/>
      <c r="L188" s="93"/>
    </row>
    <row r="189" spans="1:12">
      <c r="A189" s="94" t="str">
        <f t="shared" si="32"/>
        <v>Jawar</v>
      </c>
      <c r="B189" s="94" t="s">
        <v>361</v>
      </c>
      <c r="C189" s="250"/>
      <c r="D189" s="199">
        <f>(B131*(1-'5.Closing Stock &amp; W Capital'!$D$15))*$C189*D$172</f>
        <v>0</v>
      </c>
      <c r="E189" s="199">
        <f>((C131*(1-'5.Closing Stock &amp; W Capital'!$D$15))+(B131*'5.Closing Stock &amp; W Capital'!$D$15))*$C189*E$172</f>
        <v>0</v>
      </c>
      <c r="F189" s="199">
        <f>((D131*(1-'5.Closing Stock &amp; W Capital'!$D$15))+(C131*'5.Closing Stock &amp; W Capital'!$D$15))*$C189*F$172</f>
        <v>0</v>
      </c>
      <c r="G189" s="199">
        <f>((E131*(1-'5.Closing Stock &amp; W Capital'!$D$15))+(D131*'5.Closing Stock &amp; W Capital'!$D$15))*$C189*G$172</f>
        <v>0</v>
      </c>
      <c r="H189" s="199">
        <f>((F131*(1-'5.Closing Stock &amp; W Capital'!$D$15))+(E131*'5.Closing Stock &amp; W Capital'!$D$15))*$C189*H$172</f>
        <v>0</v>
      </c>
      <c r="I189" s="199">
        <f>((G131*(1-'5.Closing Stock &amp; W Capital'!$D$15))+(F131*'5.Closing Stock &amp; W Capital'!$D$15))*$C189*I$172</f>
        <v>0</v>
      </c>
      <c r="J189" s="199">
        <f>((H131*(1-'5.Closing Stock &amp; W Capital'!$D$15))+(G131*'5.Closing Stock &amp; W Capital'!$D$15))*$C189*J$172</f>
        <v>0</v>
      </c>
      <c r="K189" s="93"/>
      <c r="L189" s="93"/>
    </row>
    <row r="190" spans="1:12">
      <c r="A190" s="94" t="str">
        <f t="shared" si="32"/>
        <v>Maize</v>
      </c>
      <c r="B190" s="94" t="s">
        <v>361</v>
      </c>
      <c r="C190" s="250"/>
      <c r="D190" s="199">
        <f>(B132*(1-'5.Closing Stock &amp; W Capital'!$D$15))*$C190*D$172</f>
        <v>0</v>
      </c>
      <c r="E190" s="199">
        <f>((C132*(1-'5.Closing Stock &amp; W Capital'!$D$15))+(B132*'5.Closing Stock &amp; W Capital'!$D$15))*$C190*E$172</f>
        <v>0</v>
      </c>
      <c r="F190" s="199">
        <f>((D132*(1-'5.Closing Stock &amp; W Capital'!$D$15))+(C132*'5.Closing Stock &amp; W Capital'!$D$15))*$C190*F$172</f>
        <v>0</v>
      </c>
      <c r="G190" s="199">
        <f>((E132*(1-'5.Closing Stock &amp; W Capital'!$D$15))+(D132*'5.Closing Stock &amp; W Capital'!$D$15))*$C190*G$172</f>
        <v>0</v>
      </c>
      <c r="H190" s="199">
        <f>((F132*(1-'5.Closing Stock &amp; W Capital'!$D$15))+(E132*'5.Closing Stock &amp; W Capital'!$D$15))*$C190*H$172</f>
        <v>0</v>
      </c>
      <c r="I190" s="199">
        <f>((G132*(1-'5.Closing Stock &amp; W Capital'!$D$15))+(F132*'5.Closing Stock &amp; W Capital'!$D$15))*$C190*I$172</f>
        <v>0</v>
      </c>
      <c r="J190" s="199">
        <f>((H132*(1-'5.Closing Stock &amp; W Capital'!$D$15))+(G132*'5.Closing Stock &amp; W Capital'!$D$15))*$C190*J$172</f>
        <v>0</v>
      </c>
      <c r="K190" s="93"/>
      <c r="L190" s="93"/>
    </row>
    <row r="191" spans="1:12">
      <c r="A191" s="94" t="str">
        <f t="shared" si="32"/>
        <v>Safflower</v>
      </c>
      <c r="B191" s="94" t="s">
        <v>361</v>
      </c>
      <c r="C191" s="250"/>
      <c r="D191" s="199">
        <f>(B133*(1-'5.Closing Stock &amp; W Capital'!$D$15))*$C191*D$172</f>
        <v>0</v>
      </c>
      <c r="E191" s="199">
        <f>((C133*(1-'5.Closing Stock &amp; W Capital'!$D$15))+(B133*'5.Closing Stock &amp; W Capital'!$D$15))*$C191*E$172</f>
        <v>0</v>
      </c>
      <c r="F191" s="199">
        <f>((D133*(1-'5.Closing Stock &amp; W Capital'!$D$15))+(C133*'5.Closing Stock &amp; W Capital'!$D$15))*$C191*F$172</f>
        <v>0</v>
      </c>
      <c r="G191" s="199">
        <f>((E133*(1-'5.Closing Stock &amp; W Capital'!$D$15))+(D133*'5.Closing Stock &amp; W Capital'!$D$15))*$C191*G$172</f>
        <v>0</v>
      </c>
      <c r="H191" s="199">
        <f>((F133*(1-'5.Closing Stock &amp; W Capital'!$D$15))+(E133*'5.Closing Stock &amp; W Capital'!$D$15))*$C191*H$172</f>
        <v>0</v>
      </c>
      <c r="I191" s="199">
        <f>((G133*(1-'5.Closing Stock &amp; W Capital'!$D$15))+(F133*'5.Closing Stock &amp; W Capital'!$D$15))*$C191*I$172</f>
        <v>0</v>
      </c>
      <c r="J191" s="199">
        <f>((H133*(1-'5.Closing Stock &amp; W Capital'!$D$15))+(G133*'5.Closing Stock &amp; W Capital'!$D$15))*$C191*J$172</f>
        <v>0</v>
      </c>
      <c r="K191" s="93"/>
      <c r="L191" s="93"/>
    </row>
    <row r="192" spans="1:12">
      <c r="A192" s="94" t="str">
        <f t="shared" si="32"/>
        <v>Groundnut</v>
      </c>
      <c r="B192" s="94" t="s">
        <v>361</v>
      </c>
      <c r="C192" s="250"/>
      <c r="D192" s="199">
        <f>(B134*(1-'5.Closing Stock &amp; W Capital'!$D$15))*$C192*D$172</f>
        <v>0</v>
      </c>
      <c r="E192" s="199">
        <f>((C134*(1-'5.Closing Stock &amp; W Capital'!$D$15))+(B134*'5.Closing Stock &amp; W Capital'!$D$15))*$C192*E$172</f>
        <v>0</v>
      </c>
      <c r="F192" s="199">
        <f>((D134*(1-'5.Closing Stock &amp; W Capital'!$D$15))+(C134*'5.Closing Stock &amp; W Capital'!$D$15))*$C192*F$172</f>
        <v>0</v>
      </c>
      <c r="G192" s="199">
        <f>((E134*(1-'5.Closing Stock &amp; W Capital'!$D$15))+(D134*'5.Closing Stock &amp; W Capital'!$D$15))*$C192*G$172</f>
        <v>0</v>
      </c>
      <c r="H192" s="199">
        <f>((F134*(1-'5.Closing Stock &amp; W Capital'!$D$15))+(E134*'5.Closing Stock &amp; W Capital'!$D$15))*$C192*H$172</f>
        <v>0</v>
      </c>
      <c r="I192" s="199">
        <f>((G134*(1-'5.Closing Stock &amp; W Capital'!$D$15))+(F134*'5.Closing Stock &amp; W Capital'!$D$15))*$C192*I$172</f>
        <v>0</v>
      </c>
      <c r="J192" s="199">
        <f>((H134*(1-'5.Closing Stock &amp; W Capital'!$D$15))+(G134*'5.Closing Stock &amp; W Capital'!$D$15))*$C192*J$172</f>
        <v>0</v>
      </c>
      <c r="K192" s="93"/>
      <c r="L192" s="93"/>
    </row>
    <row r="193" spans="1:12">
      <c r="A193" s="94">
        <f t="shared" si="32"/>
        <v>0</v>
      </c>
      <c r="B193" s="94" t="s">
        <v>361</v>
      </c>
      <c r="C193" s="250"/>
      <c r="D193" s="199">
        <f>(B135*(1-'5.Closing Stock &amp; W Capital'!$D$15))*$C193*D$172</f>
        <v>0</v>
      </c>
      <c r="E193" s="199">
        <f>((C135*(1-'5.Closing Stock &amp; W Capital'!$D$15))+(B135*'5.Closing Stock &amp; W Capital'!$D$15))*$C193*E$172</f>
        <v>0</v>
      </c>
      <c r="F193" s="199">
        <f>((D135*(1-'5.Closing Stock &amp; W Capital'!$D$15))+(C135*'5.Closing Stock &amp; W Capital'!$D$15))*$C193*F$172</f>
        <v>0</v>
      </c>
      <c r="G193" s="199">
        <f>((E135*(1-'5.Closing Stock &amp; W Capital'!$D$15))+(D135*'5.Closing Stock &amp; W Capital'!$D$15))*$C193*G$172</f>
        <v>0</v>
      </c>
      <c r="H193" s="199">
        <f>((F135*(1-'5.Closing Stock &amp; W Capital'!$D$15))+(E135*'5.Closing Stock &amp; W Capital'!$D$15))*$C193*H$172</f>
        <v>0</v>
      </c>
      <c r="I193" s="199">
        <f>((G135*(1-'5.Closing Stock &amp; W Capital'!$D$15))+(F135*'5.Closing Stock &amp; W Capital'!$D$15))*$C193*I$172</f>
        <v>0</v>
      </c>
      <c r="J193" s="199">
        <f>((H135*(1-'5.Closing Stock &amp; W Capital'!$D$15))+(G135*'5.Closing Stock &amp; W Capital'!$D$15))*$C193*J$172</f>
        <v>0</v>
      </c>
      <c r="K193" s="93"/>
      <c r="L193" s="93"/>
    </row>
    <row r="194" spans="1:12">
      <c r="A194" s="94">
        <f t="shared" si="32"/>
        <v>0</v>
      </c>
      <c r="B194" s="94" t="s">
        <v>361</v>
      </c>
      <c r="C194" s="250"/>
      <c r="D194" s="199">
        <f>(B136*(1-'5.Closing Stock &amp; W Capital'!$D$15))*$C194*D$172</f>
        <v>0</v>
      </c>
      <c r="E194" s="199">
        <f>((C136*(1-'5.Closing Stock &amp; W Capital'!$D$15))+(B136*'5.Closing Stock &amp; W Capital'!$D$15))*$C194*E$172</f>
        <v>0</v>
      </c>
      <c r="F194" s="199">
        <f>((D136*(1-'5.Closing Stock &amp; W Capital'!$D$15))+(C136*'5.Closing Stock &amp; W Capital'!$D$15))*$C194*F$172</f>
        <v>0</v>
      </c>
      <c r="G194" s="199">
        <f>((E136*(1-'5.Closing Stock &amp; W Capital'!$D$15))+(D136*'5.Closing Stock &amp; W Capital'!$D$15))*$C194*G$172</f>
        <v>0</v>
      </c>
      <c r="H194" s="199">
        <f>((F136*(1-'5.Closing Stock &amp; W Capital'!$D$15))+(E136*'5.Closing Stock &amp; W Capital'!$D$15))*$C194*H$172</f>
        <v>0</v>
      </c>
      <c r="I194" s="199">
        <f>((G136*(1-'5.Closing Stock &amp; W Capital'!$D$15))+(F136*'5.Closing Stock &amp; W Capital'!$D$15))*$C194*I$172</f>
        <v>0</v>
      </c>
      <c r="J194" s="199">
        <f>((H136*(1-'5.Closing Stock &amp; W Capital'!$D$15))+(G136*'5.Closing Stock &amp; W Capital'!$D$15))*$C194*J$172</f>
        <v>0</v>
      </c>
      <c r="K194" s="93"/>
      <c r="L194" s="93"/>
    </row>
    <row r="195" spans="1:12">
      <c r="A195" s="94" t="str">
        <f t="shared" si="32"/>
        <v>Soybean</v>
      </c>
      <c r="B195" s="94" t="s">
        <v>361</v>
      </c>
      <c r="C195" s="250"/>
      <c r="D195" s="199">
        <f>(B137*(1-'5.Closing Stock &amp; W Capital'!$D$15))*$C195*D$172</f>
        <v>0</v>
      </c>
      <c r="E195" s="199">
        <f>((C137*(1-'5.Closing Stock &amp; W Capital'!$D$15))+(B137*'5.Closing Stock &amp; W Capital'!$D$15))*$C195*E$172</f>
        <v>0</v>
      </c>
      <c r="F195" s="199">
        <f>((D137*(1-'5.Closing Stock &amp; W Capital'!$D$15))+(C137*'5.Closing Stock &amp; W Capital'!$D$15))*$C195*F$172</f>
        <v>0</v>
      </c>
      <c r="G195" s="199">
        <f>((E137*(1-'5.Closing Stock &amp; W Capital'!$D$15))+(D137*'5.Closing Stock &amp; W Capital'!$D$15))*$C195*G$172</f>
        <v>0</v>
      </c>
      <c r="H195" s="199">
        <f>((F137*(1-'5.Closing Stock &amp; W Capital'!$D$15))+(E137*'5.Closing Stock &amp; W Capital'!$D$15))*$C195*H$172</f>
        <v>0</v>
      </c>
      <c r="I195" s="199">
        <f>((G137*(1-'5.Closing Stock &amp; W Capital'!$D$15))+(F137*'5.Closing Stock &amp; W Capital'!$D$15))*$C195*I$172</f>
        <v>0</v>
      </c>
      <c r="J195" s="199">
        <f>((H137*(1-'5.Closing Stock &amp; W Capital'!$D$15))+(G137*'5.Closing Stock &amp; W Capital'!$D$15))*$C195*J$172</f>
        <v>0</v>
      </c>
      <c r="K195" s="93"/>
      <c r="L195" s="93"/>
    </row>
    <row r="196" spans="1:12">
      <c r="A196" s="94">
        <f t="shared" si="32"/>
        <v>0</v>
      </c>
      <c r="B196" s="94" t="s">
        <v>361</v>
      </c>
      <c r="C196" s="250"/>
      <c r="D196" s="199">
        <f>(B138*(1-'5.Closing Stock &amp; W Capital'!$D$15))*$C196*D$172</f>
        <v>0</v>
      </c>
      <c r="E196" s="199">
        <f>((C138*(1-'5.Closing Stock &amp; W Capital'!$D$15))+(B138*'5.Closing Stock &amp; W Capital'!$D$15))*$C196*E$172</f>
        <v>0</v>
      </c>
      <c r="F196" s="199">
        <f>((D138*(1-'5.Closing Stock &amp; W Capital'!$D$15))+(C138*'5.Closing Stock &amp; W Capital'!$D$15))*$C196*F$172</f>
        <v>0</v>
      </c>
      <c r="G196" s="199">
        <f>((E138*(1-'5.Closing Stock &amp; W Capital'!$D$15))+(D138*'5.Closing Stock &amp; W Capital'!$D$15))*$C196*G$172</f>
        <v>0</v>
      </c>
      <c r="H196" s="199">
        <f>((F138*(1-'5.Closing Stock &amp; W Capital'!$D$15))+(E138*'5.Closing Stock &amp; W Capital'!$D$15))*$C196*H$172</f>
        <v>0</v>
      </c>
      <c r="I196" s="199">
        <f>((G138*(1-'5.Closing Stock &amp; W Capital'!$D$15))+(F138*'5.Closing Stock &amp; W Capital'!$D$15))*$C196*I$172</f>
        <v>0</v>
      </c>
      <c r="J196" s="199">
        <f>((H138*(1-'5.Closing Stock &amp; W Capital'!$D$15))+(G138*'5.Closing Stock &amp; W Capital'!$D$15))*$C196*J$172</f>
        <v>0</v>
      </c>
      <c r="K196" s="93"/>
      <c r="L196" s="93"/>
    </row>
    <row r="197" spans="1:12">
      <c r="A197" s="94">
        <f t="shared" si="32"/>
        <v>0</v>
      </c>
      <c r="B197" s="94" t="s">
        <v>361</v>
      </c>
      <c r="C197" s="250"/>
      <c r="D197" s="199">
        <f>(B139*(1-'5.Closing Stock &amp; W Capital'!$D$15))*$C197*D$172</f>
        <v>0</v>
      </c>
      <c r="E197" s="199">
        <f>((C139*(1-'5.Closing Stock &amp; W Capital'!$D$15))+(B139*'5.Closing Stock &amp; W Capital'!$D$15))*$C197*E$172</f>
        <v>0</v>
      </c>
      <c r="F197" s="199">
        <f>((D139*(1-'5.Closing Stock &amp; W Capital'!$D$15))+(C139*'5.Closing Stock &amp; W Capital'!$D$15))*$C197*F$172</f>
        <v>0</v>
      </c>
      <c r="G197" s="199">
        <f>((E139*(1-'5.Closing Stock &amp; W Capital'!$D$15))+(D139*'5.Closing Stock &amp; W Capital'!$D$15))*$C197*G$172</f>
        <v>0</v>
      </c>
      <c r="H197" s="199">
        <f>((F139*(1-'5.Closing Stock &amp; W Capital'!$D$15))+(E139*'5.Closing Stock &amp; W Capital'!$D$15))*$C197*H$172</f>
        <v>0</v>
      </c>
      <c r="I197" s="199">
        <f>((G139*(1-'5.Closing Stock &amp; W Capital'!$D$15))+(F139*'5.Closing Stock &amp; W Capital'!$D$15))*$C197*I$172</f>
        <v>0</v>
      </c>
      <c r="J197" s="199">
        <f>((H139*(1-'5.Closing Stock &amp; W Capital'!$D$15))+(G139*'5.Closing Stock &amp; W Capital'!$D$15))*$C197*J$172</f>
        <v>0</v>
      </c>
      <c r="K197" s="93"/>
      <c r="L197" s="93"/>
    </row>
    <row r="198" spans="1:12">
      <c r="A198" s="94">
        <f t="shared" si="32"/>
        <v>0</v>
      </c>
      <c r="B198" s="94" t="s">
        <v>361</v>
      </c>
      <c r="C198" s="250"/>
      <c r="D198" s="199">
        <f>(B140*(1-'5.Closing Stock &amp; W Capital'!$D$15))*$C198*D$172</f>
        <v>0</v>
      </c>
      <c r="E198" s="199">
        <f>((C140*(1-'5.Closing Stock &amp; W Capital'!$D$15))+(B140*'5.Closing Stock &amp; W Capital'!$D$15))*$C198*E$172</f>
        <v>0</v>
      </c>
      <c r="F198" s="199">
        <f>((D140*(1-'5.Closing Stock &amp; W Capital'!$D$15))+(C140*'5.Closing Stock &amp; W Capital'!$D$15))*$C198*F$172</f>
        <v>0</v>
      </c>
      <c r="G198" s="199">
        <f>((E140*(1-'5.Closing Stock &amp; W Capital'!$D$15))+(D140*'5.Closing Stock &amp; W Capital'!$D$15))*$C198*G$172</f>
        <v>0</v>
      </c>
      <c r="H198" s="199">
        <f>((F140*(1-'5.Closing Stock &amp; W Capital'!$D$15))+(E140*'5.Closing Stock &amp; W Capital'!$D$15))*$C198*H$172</f>
        <v>0</v>
      </c>
      <c r="I198" s="199">
        <f>((G140*(1-'5.Closing Stock &amp; W Capital'!$D$15))+(F140*'5.Closing Stock &amp; W Capital'!$D$15))*$C198*I$172</f>
        <v>0</v>
      </c>
      <c r="J198" s="199">
        <f>((H140*(1-'5.Closing Stock &amp; W Capital'!$D$15))+(G140*'5.Closing Stock &amp; W Capital'!$D$15))*$C198*J$172</f>
        <v>0</v>
      </c>
      <c r="K198" s="93"/>
      <c r="L198" s="93"/>
    </row>
    <row r="199" spans="1:12">
      <c r="A199" s="94"/>
      <c r="B199" s="94" t="s">
        <v>361</v>
      </c>
      <c r="C199" s="250"/>
      <c r="D199" s="199">
        <f>(B141*(1-'5.Closing Stock &amp; W Capital'!$D$15))*$C199*D$172</f>
        <v>0</v>
      </c>
      <c r="E199" s="199">
        <f>((C141*(1-'5.Closing Stock &amp; W Capital'!$D$15))+(B141*'5.Closing Stock &amp; W Capital'!$D$15))*$C199*E$172</f>
        <v>0</v>
      </c>
      <c r="F199" s="199">
        <f>((D141*(1-'5.Closing Stock &amp; W Capital'!$D$15))+(C141*'5.Closing Stock &amp; W Capital'!$D$15))*$C199*F$172</f>
        <v>0</v>
      </c>
      <c r="G199" s="199">
        <f>((E141*(1-'5.Closing Stock &amp; W Capital'!$D$15))+(D141*'5.Closing Stock &amp; W Capital'!$D$15))*$C199*G$172</f>
        <v>0</v>
      </c>
      <c r="H199" s="199">
        <f>((F141*(1-'5.Closing Stock &amp; W Capital'!$D$15))+(E141*'5.Closing Stock &amp; W Capital'!$D$15))*$C199*H$172</f>
        <v>0</v>
      </c>
      <c r="I199" s="199">
        <f>((G141*(1-'5.Closing Stock &amp; W Capital'!$D$15))+(F141*'5.Closing Stock &amp; W Capital'!$D$15))*$C199*I$172</f>
        <v>0</v>
      </c>
      <c r="J199" s="199">
        <f>((H141*(1-'5.Closing Stock &amp; W Capital'!$D$15))+(G141*'5.Closing Stock &amp; W Capital'!$D$15))*$C199*J$172</f>
        <v>0</v>
      </c>
      <c r="K199" s="93"/>
      <c r="L199" s="93"/>
    </row>
    <row r="200" spans="1:12">
      <c r="A200" s="96" t="s">
        <v>294</v>
      </c>
      <c r="B200" s="94" t="s">
        <v>361</v>
      </c>
      <c r="C200" s="234">
        <v>25</v>
      </c>
      <c r="D200" s="199">
        <f t="shared" ref="D200:J200" si="33">B65*$C$200*D172</f>
        <v>114070.49099999999</v>
      </c>
      <c r="E200" s="199">
        <f t="shared" si="33"/>
        <v>139736.35147500003</v>
      </c>
      <c r="F200" s="199">
        <f t="shared" si="33"/>
        <v>167683.62177</v>
      </c>
      <c r="G200" s="199">
        <f t="shared" si="33"/>
        <v>198076.27821581252</v>
      </c>
      <c r="H200" s="199">
        <f t="shared" si="33"/>
        <v>231088.99125178126</v>
      </c>
      <c r="I200" s="199">
        <f t="shared" si="33"/>
        <v>266907.78489580739</v>
      </c>
      <c r="J200" s="199">
        <f t="shared" si="33"/>
        <v>305730.73542610666</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361</v>
      </c>
      <c r="C203" s="332">
        <v>0</v>
      </c>
      <c r="D203" s="199">
        <f>(B144*(1-'5.Closing Stock &amp; W Capital'!$D$15))*$C203*D$172</f>
        <v>0</v>
      </c>
      <c r="E203" s="199">
        <f>((C144*(1-'5.Closing Stock &amp; W Capital'!$D$15))+(B144*'5.Closing Stock &amp; W Capital'!$D$15))*$C203*E$172</f>
        <v>0</v>
      </c>
      <c r="F203" s="199">
        <f>((D144*(1-'5.Closing Stock &amp; W Capital'!$D$15))+(C144*'5.Closing Stock &amp; W Capital'!$D$15))*$C203*F$172</f>
        <v>0</v>
      </c>
      <c r="G203" s="199">
        <f>((E144*(1-'5.Closing Stock &amp; W Capital'!$D$15))+(D144*'5.Closing Stock &amp; W Capital'!$D$15))*$C203*G$172</f>
        <v>0</v>
      </c>
      <c r="H203" s="199">
        <f>((F144*(1-'5.Closing Stock &amp; W Capital'!$D$15))+(E144*'5.Closing Stock &amp; W Capital'!$D$15))*$C203*H$172</f>
        <v>0</v>
      </c>
      <c r="I203" s="199">
        <f>((G144*(1-'5.Closing Stock &amp; W Capital'!$D$15))+(F144*'5.Closing Stock &amp; W Capital'!$D$15))*$C203*I$172</f>
        <v>0</v>
      </c>
      <c r="J203" s="199">
        <f>((H144*(1-'5.Closing Stock &amp; W Capital'!$D$15))+(G144*'5.Closing Stock &amp; W Capital'!$D$15))*$C203*J$172</f>
        <v>0</v>
      </c>
      <c r="K203" s="93"/>
      <c r="L203" s="93"/>
    </row>
    <row r="204" spans="1:12">
      <c r="A204" s="96" t="str">
        <f t="shared" si="34"/>
        <v>Tomato</v>
      </c>
      <c r="B204" s="94" t="s">
        <v>361</v>
      </c>
      <c r="C204" s="250">
        <v>0</v>
      </c>
      <c r="D204" s="199">
        <f>(B145*(1-'5.Closing Stock &amp; W Capital'!$D$15))*$C204*D$172</f>
        <v>0</v>
      </c>
      <c r="E204" s="199">
        <f>((C145*(1-'5.Closing Stock &amp; W Capital'!$D$15))+(B145*'5.Closing Stock &amp; W Capital'!$D$15))*$C204*E$172</f>
        <v>0</v>
      </c>
      <c r="F204" s="199">
        <f>((D145*(1-'5.Closing Stock &amp; W Capital'!$D$15))+(C145*'5.Closing Stock &amp; W Capital'!$D$15))*$C204*F$172</f>
        <v>0</v>
      </c>
      <c r="G204" s="199">
        <f>((E145*(1-'5.Closing Stock &amp; W Capital'!$D$15))+(D145*'5.Closing Stock &amp; W Capital'!$D$15))*$C204*G$172</f>
        <v>0</v>
      </c>
      <c r="H204" s="199">
        <f>((F145*(1-'5.Closing Stock &amp; W Capital'!$D$15))+(E145*'5.Closing Stock &amp; W Capital'!$D$15))*$C204*H$172</f>
        <v>0</v>
      </c>
      <c r="I204" s="199">
        <f>((G145*(1-'5.Closing Stock &amp; W Capital'!$D$15))+(F145*'5.Closing Stock &amp; W Capital'!$D$15))*$C204*I$172</f>
        <v>0</v>
      </c>
      <c r="J204" s="199">
        <f>((H145*(1-'5.Closing Stock &amp; W Capital'!$D$15))+(G145*'5.Closing Stock &amp; W Capital'!$D$15))*$C204*J$172</f>
        <v>0</v>
      </c>
      <c r="K204" s="93"/>
      <c r="L204" s="93"/>
    </row>
    <row r="205" spans="1:12">
      <c r="A205" s="96" t="str">
        <f t="shared" si="34"/>
        <v>Okra</v>
      </c>
      <c r="B205" s="94" t="s">
        <v>361</v>
      </c>
      <c r="C205" s="250">
        <v>0</v>
      </c>
      <c r="D205" s="199">
        <f>(B146*(1-'5.Closing Stock &amp; W Capital'!$D$15))*$C205*D$172</f>
        <v>0</v>
      </c>
      <c r="E205" s="199">
        <f>((C146*(1-'5.Closing Stock &amp; W Capital'!$D$15))+(B146*'5.Closing Stock &amp; W Capital'!$D$15))*$C205*E$172</f>
        <v>0</v>
      </c>
      <c r="F205" s="199">
        <f>((D146*(1-'5.Closing Stock &amp; W Capital'!$D$15))+(C146*'5.Closing Stock &amp; W Capital'!$D$15))*$C205*F$172</f>
        <v>0</v>
      </c>
      <c r="G205" s="199">
        <f>((E146*(1-'5.Closing Stock &amp; W Capital'!$D$15))+(D146*'5.Closing Stock &amp; W Capital'!$D$15))*$C205*G$172</f>
        <v>0</v>
      </c>
      <c r="H205" s="199">
        <f>((F146*(1-'5.Closing Stock &amp; W Capital'!$D$15))+(E146*'5.Closing Stock &amp; W Capital'!$D$15))*$C205*H$172</f>
        <v>0</v>
      </c>
      <c r="I205" s="199">
        <f>((G146*(1-'5.Closing Stock &amp; W Capital'!$D$15))+(F146*'5.Closing Stock &amp; W Capital'!$D$15))*$C205*I$172</f>
        <v>0</v>
      </c>
      <c r="J205" s="199">
        <f>((H146*(1-'5.Closing Stock &amp; W Capital'!$D$15))+(G146*'5.Closing Stock &amp; W Capital'!$D$15))*$C205*J$172</f>
        <v>0</v>
      </c>
      <c r="K205" s="93"/>
      <c r="L205" s="93"/>
    </row>
    <row r="206" spans="1:12">
      <c r="A206" s="96" t="str">
        <f t="shared" si="34"/>
        <v>Chilli</v>
      </c>
      <c r="B206" s="94" t="s">
        <v>361</v>
      </c>
      <c r="C206" s="250">
        <v>0</v>
      </c>
      <c r="D206" s="199">
        <f>(B147*(1-'5.Closing Stock &amp; W Capital'!$D$15))*$C206*D$172</f>
        <v>0</v>
      </c>
      <c r="E206" s="199">
        <f>((C147*(1-'5.Closing Stock &amp; W Capital'!$D$15))+(B147*'5.Closing Stock &amp; W Capital'!$D$15))*$C206*E$172</f>
        <v>0</v>
      </c>
      <c r="F206" s="199">
        <f>((D147*(1-'5.Closing Stock &amp; W Capital'!$D$15))+(C147*'5.Closing Stock &amp; W Capital'!$D$15))*$C206*F$172</f>
        <v>0</v>
      </c>
      <c r="G206" s="199">
        <f>((E147*(1-'5.Closing Stock &amp; W Capital'!$D$15))+(D147*'5.Closing Stock &amp; W Capital'!$D$15))*$C206*G$172</f>
        <v>0</v>
      </c>
      <c r="H206" s="199">
        <f>((F147*(1-'5.Closing Stock &amp; W Capital'!$D$15))+(E147*'5.Closing Stock &amp; W Capital'!$D$15))*$C206*H$172</f>
        <v>0</v>
      </c>
      <c r="I206" s="199">
        <f>((G147*(1-'5.Closing Stock &amp; W Capital'!$D$15))+(F147*'5.Closing Stock &amp; W Capital'!$D$15))*$C206*I$172</f>
        <v>0</v>
      </c>
      <c r="J206" s="199">
        <f>((H147*(1-'5.Closing Stock &amp; W Capital'!$D$15))+(G147*'5.Closing Stock &amp; W Capital'!$D$15))*$C206*J$172</f>
        <v>0</v>
      </c>
      <c r="K206" s="93"/>
      <c r="L206" s="93"/>
    </row>
    <row r="207" spans="1:12">
      <c r="A207" s="96" t="str">
        <f t="shared" si="34"/>
        <v>Potato</v>
      </c>
      <c r="B207" s="94" t="s">
        <v>361</v>
      </c>
      <c r="C207" s="250">
        <v>0</v>
      </c>
      <c r="D207" s="199">
        <f>(B148*(1-'5.Closing Stock &amp; W Capital'!$D$15))*$C207*D$172</f>
        <v>0</v>
      </c>
      <c r="E207" s="199">
        <f>((C148*(1-'5.Closing Stock &amp; W Capital'!$D$15))+(B148*'5.Closing Stock &amp; W Capital'!$D$15))*$C207*E$172</f>
        <v>0</v>
      </c>
      <c r="F207" s="199">
        <f>((D148*(1-'5.Closing Stock &amp; W Capital'!$D$15))+(C148*'5.Closing Stock &amp; W Capital'!$D$15))*$C207*F$172</f>
        <v>0</v>
      </c>
      <c r="G207" s="199">
        <f>((E148*(1-'5.Closing Stock &amp; W Capital'!$D$15))+(D148*'5.Closing Stock &amp; W Capital'!$D$15))*$C207*G$172</f>
        <v>0</v>
      </c>
      <c r="H207" s="199">
        <f>((F148*(1-'5.Closing Stock &amp; W Capital'!$D$15))+(E148*'5.Closing Stock &amp; W Capital'!$D$15))*$C207*H$172</f>
        <v>0</v>
      </c>
      <c r="I207" s="199">
        <f>((G148*(1-'5.Closing Stock &amp; W Capital'!$D$15))+(F148*'5.Closing Stock &amp; W Capital'!$D$15))*$C207*I$172</f>
        <v>0</v>
      </c>
      <c r="J207" s="199">
        <f>((H148*(1-'5.Closing Stock &amp; W Capital'!$D$15))+(G148*'5.Closing Stock &amp; W Capital'!$D$15))*$C207*J$172</f>
        <v>0</v>
      </c>
      <c r="K207" s="93"/>
      <c r="L207" s="93"/>
    </row>
    <row r="208" spans="1:12">
      <c r="A208" s="96">
        <f t="shared" si="34"/>
        <v>0</v>
      </c>
      <c r="B208" s="94" t="s">
        <v>361</v>
      </c>
      <c r="C208" s="234"/>
      <c r="D208" s="199">
        <f>(B149*(1-'5.Closing Stock &amp; W Capital'!$D$15))*$C208*D$172</f>
        <v>0</v>
      </c>
      <c r="E208" s="199">
        <f>((C149*(1-'5.Closing Stock &amp; W Capital'!$D$15))+(B149*'5.Closing Stock &amp; W Capital'!$D$15))*$C208*E$172</f>
        <v>0</v>
      </c>
      <c r="F208" s="199">
        <f>((D149*(1-'5.Closing Stock &amp; W Capital'!$D$15))+(C149*'5.Closing Stock &amp; W Capital'!$D$15))*$C208*F$172</f>
        <v>0</v>
      </c>
      <c r="G208" s="199">
        <f>((E149*(1-'5.Closing Stock &amp; W Capital'!$D$15))+(D149*'5.Closing Stock &amp; W Capital'!$D$15))*$C208*G$172</f>
        <v>0</v>
      </c>
      <c r="H208" s="199">
        <f>((F149*(1-'5.Closing Stock &amp; W Capital'!$D$15))+(E149*'5.Closing Stock &amp; W Capital'!$D$15))*$C208*H$172</f>
        <v>0</v>
      </c>
      <c r="I208" s="199">
        <f>((G149*(1-'5.Closing Stock &amp; W Capital'!$D$15))+(F149*'5.Closing Stock &amp; W Capital'!$D$15))*$C208*I$172</f>
        <v>0</v>
      </c>
      <c r="J208" s="199">
        <f>((H149*(1-'5.Closing Stock &amp; W Capital'!$D$15))+(G149*'5.Closing Stock &amp; W Capital'!$D$15))*$C208*J$172</f>
        <v>0</v>
      </c>
      <c r="K208" s="93"/>
      <c r="L208" s="93"/>
    </row>
    <row r="209" spans="1:12">
      <c r="A209" s="96">
        <f t="shared" si="34"/>
        <v>0</v>
      </c>
      <c r="B209" s="94" t="s">
        <v>361</v>
      </c>
      <c r="C209" s="234"/>
      <c r="D209" s="199">
        <f>(B150*(1-'5.Closing Stock &amp; W Capital'!$D$15))*$C209*D$172</f>
        <v>0</v>
      </c>
      <c r="E209" s="199">
        <f>((C150*(1-'5.Closing Stock &amp; W Capital'!$D$15))+(B150*'5.Closing Stock &amp; W Capital'!$D$15))*$C209*E$172</f>
        <v>0</v>
      </c>
      <c r="F209" s="199">
        <f>((D150*(1-'5.Closing Stock &amp; W Capital'!$D$15))+(C150*'5.Closing Stock &amp; W Capital'!$D$15))*$C209*F$172</f>
        <v>0</v>
      </c>
      <c r="G209" s="199">
        <f>((E150*(1-'5.Closing Stock &amp; W Capital'!$D$15))+(D150*'5.Closing Stock &amp; W Capital'!$D$15))*$C209*G$172</f>
        <v>0</v>
      </c>
      <c r="H209" s="199">
        <f>((F150*(1-'5.Closing Stock &amp; W Capital'!$D$15))+(E150*'5.Closing Stock &amp; W Capital'!$D$15))*$C209*H$172</f>
        <v>0</v>
      </c>
      <c r="I209" s="199">
        <f>((G150*(1-'5.Closing Stock &amp; W Capital'!$D$15))+(F150*'5.Closing Stock &amp; W Capital'!$D$15))*$C209*I$172</f>
        <v>0</v>
      </c>
      <c r="J209" s="199">
        <f>((H150*(1-'5.Closing Stock &amp; W Capital'!$D$15))+(G150*'5.Closing Stock &amp; W Capital'!$D$15))*$C209*J$172</f>
        <v>0</v>
      </c>
      <c r="K209" s="93"/>
      <c r="L209" s="93"/>
    </row>
    <row r="210" spans="1:12">
      <c r="A210" s="96">
        <f t="shared" si="34"/>
        <v>0</v>
      </c>
      <c r="B210" s="94" t="s">
        <v>361</v>
      </c>
      <c r="C210" s="234"/>
      <c r="D210" s="199">
        <f>(B151*(1-'5.Closing Stock &amp; W Capital'!$D$15))*$C210*D$172</f>
        <v>0</v>
      </c>
      <c r="E210" s="199">
        <f>((C151*(1-'5.Closing Stock &amp; W Capital'!$D$15))+(B151*'5.Closing Stock &amp; W Capital'!$D$15))*$C210*E$172</f>
        <v>0</v>
      </c>
      <c r="F210" s="199">
        <f>((D151*(1-'5.Closing Stock &amp; W Capital'!$D$15))+(C151*'5.Closing Stock &amp; W Capital'!$D$15))*$C210*F$172</f>
        <v>0</v>
      </c>
      <c r="G210" s="199">
        <f>((E151*(1-'5.Closing Stock &amp; W Capital'!$D$15))+(D151*'5.Closing Stock &amp; W Capital'!$D$15))*$C210*G$172</f>
        <v>0</v>
      </c>
      <c r="H210" s="199">
        <f>((F151*(1-'5.Closing Stock &amp; W Capital'!$D$15))+(E151*'5.Closing Stock &amp; W Capital'!$D$15))*$C210*H$172</f>
        <v>0</v>
      </c>
      <c r="I210" s="199">
        <f>((G151*(1-'5.Closing Stock &amp; W Capital'!$D$15))+(F151*'5.Closing Stock &amp; W Capital'!$D$15))*$C210*I$172</f>
        <v>0</v>
      </c>
      <c r="J210" s="199">
        <f>((H151*(1-'5.Closing Stock &amp; W Capital'!$D$15))+(G151*'5.Closing Stock &amp; W Capital'!$D$15))*$C210*J$172</f>
        <v>0</v>
      </c>
      <c r="K210" s="93"/>
      <c r="L210" s="93"/>
    </row>
    <row r="211" spans="1:12">
      <c r="A211" s="96">
        <f t="shared" si="34"/>
        <v>0</v>
      </c>
      <c r="B211" s="94" t="s">
        <v>361</v>
      </c>
      <c r="C211" s="234"/>
      <c r="D211" s="199">
        <f>(B152*(1-'5.Closing Stock &amp; W Capital'!$D$15))*$C211*D$172</f>
        <v>0</v>
      </c>
      <c r="E211" s="199">
        <f>((C152*(1-'5.Closing Stock &amp; W Capital'!$D$15))+(B152*'5.Closing Stock &amp; W Capital'!$D$15))*$C211*E$172</f>
        <v>0</v>
      </c>
      <c r="F211" s="199">
        <f>((D152*(1-'5.Closing Stock &amp; W Capital'!$D$15))+(C152*'5.Closing Stock &amp; W Capital'!$D$15))*$C211*F$172</f>
        <v>0</v>
      </c>
      <c r="G211" s="199">
        <f>((E152*(1-'5.Closing Stock &amp; W Capital'!$D$15))+(D152*'5.Closing Stock &amp; W Capital'!$D$15))*$C211*G$172</f>
        <v>0</v>
      </c>
      <c r="H211" s="199">
        <f>((F152*(1-'5.Closing Stock &amp; W Capital'!$D$15))+(E152*'5.Closing Stock &amp; W Capital'!$D$15))*$C211*H$172</f>
        <v>0</v>
      </c>
      <c r="I211" s="199">
        <f>((G152*(1-'5.Closing Stock &amp; W Capital'!$D$15))+(F152*'5.Closing Stock &amp; W Capital'!$D$15))*$C211*I$172</f>
        <v>0</v>
      </c>
      <c r="J211" s="199">
        <f>((H152*(1-'5.Closing Stock &amp; W Capital'!$D$15))+(G152*'5.Closing Stock &amp; W Capital'!$D$15))*$C211*J$172</f>
        <v>0</v>
      </c>
      <c r="K211" s="93"/>
      <c r="L211" s="93"/>
    </row>
    <row r="212" spans="1:12">
      <c r="A212" s="96" t="str">
        <f t="shared" si="34"/>
        <v>Onion</v>
      </c>
      <c r="B212" s="94" t="s">
        <v>361</v>
      </c>
      <c r="C212" s="250">
        <v>0</v>
      </c>
      <c r="D212" s="199">
        <f>(B153*(1-'5.Closing Stock &amp; W Capital'!$D$15))*$C212*D$172</f>
        <v>0</v>
      </c>
      <c r="E212" s="199">
        <f>((C153*(1-'5.Closing Stock &amp; W Capital'!$D$15))+(B153*'5.Closing Stock &amp; W Capital'!$D$15))*$C212*E$172</f>
        <v>0</v>
      </c>
      <c r="F212" s="199">
        <f>((D153*(1-'5.Closing Stock &amp; W Capital'!$D$15))+(C153*'5.Closing Stock &amp; W Capital'!$D$15))*$C212*F$172</f>
        <v>0</v>
      </c>
      <c r="G212" s="199">
        <f>((E153*(1-'5.Closing Stock &amp; W Capital'!$D$15))+(D153*'5.Closing Stock &amp; W Capital'!$D$15))*$C212*G$172</f>
        <v>0</v>
      </c>
      <c r="H212" s="199">
        <f>((F153*(1-'5.Closing Stock &amp; W Capital'!$D$15))+(E153*'5.Closing Stock &amp; W Capital'!$D$15))*$C212*H$172</f>
        <v>0</v>
      </c>
      <c r="I212" s="199">
        <f>((G153*(1-'5.Closing Stock &amp; W Capital'!$D$15))+(F153*'5.Closing Stock &amp; W Capital'!$D$15))*$C212*I$172</f>
        <v>0</v>
      </c>
      <c r="J212" s="199">
        <f>((H153*(1-'5.Closing Stock &amp; W Capital'!$D$15))+(G153*'5.Closing Stock &amp; W Capital'!$D$15))*$C212*J$172</f>
        <v>0</v>
      </c>
      <c r="K212" s="93"/>
      <c r="L212" s="93"/>
    </row>
    <row r="213" spans="1:12">
      <c r="A213" s="96" t="str">
        <f t="shared" si="34"/>
        <v>Tomato</v>
      </c>
      <c r="B213" s="94" t="s">
        <v>361</v>
      </c>
      <c r="C213" s="250">
        <v>0</v>
      </c>
      <c r="D213" s="199">
        <f>(B154*(1-'5.Closing Stock &amp; W Capital'!$D$15))*$C213*D$172</f>
        <v>0</v>
      </c>
      <c r="E213" s="199">
        <f>((C154*(1-'5.Closing Stock &amp; W Capital'!$D$15))+(B154*'5.Closing Stock &amp; W Capital'!$D$15))*$C213*E$172</f>
        <v>0</v>
      </c>
      <c r="F213" s="199">
        <f>((D154*(1-'5.Closing Stock &amp; W Capital'!$D$15))+(C154*'5.Closing Stock &amp; W Capital'!$D$15))*$C213*F$172</f>
        <v>0</v>
      </c>
      <c r="G213" s="199">
        <f>((E154*(1-'5.Closing Stock &amp; W Capital'!$D$15))+(D154*'5.Closing Stock &amp; W Capital'!$D$15))*$C213*G$172</f>
        <v>0</v>
      </c>
      <c r="H213" s="199">
        <f>((F154*(1-'5.Closing Stock &amp; W Capital'!$D$15))+(E154*'5.Closing Stock &amp; W Capital'!$D$15))*$C213*H$172</f>
        <v>0</v>
      </c>
      <c r="I213" s="199">
        <f>((G154*(1-'5.Closing Stock &amp; W Capital'!$D$15))+(F154*'5.Closing Stock &amp; W Capital'!$D$15))*$C213*I$172</f>
        <v>0</v>
      </c>
      <c r="J213" s="199">
        <f>((H154*(1-'5.Closing Stock &amp; W Capital'!$D$15))+(G154*'5.Closing Stock &amp; W Capital'!$D$15))*$C213*J$172</f>
        <v>0</v>
      </c>
      <c r="K213" s="93"/>
      <c r="L213" s="93"/>
    </row>
    <row r="214" spans="1:12">
      <c r="A214" s="96" t="str">
        <f t="shared" si="34"/>
        <v>Okra</v>
      </c>
      <c r="B214" s="94" t="s">
        <v>361</v>
      </c>
      <c r="C214" s="250">
        <v>0</v>
      </c>
      <c r="D214" s="199">
        <f>(B155*(1-'5.Closing Stock &amp; W Capital'!$D$15))*$C214*D$172</f>
        <v>0</v>
      </c>
      <c r="E214" s="199">
        <f>((C155*(1-'5.Closing Stock &amp; W Capital'!$D$15))+(B155*'5.Closing Stock &amp; W Capital'!$D$15))*$C214*E$172</f>
        <v>0</v>
      </c>
      <c r="F214" s="199">
        <f>((D155*(1-'5.Closing Stock &amp; W Capital'!$D$15))+(C155*'5.Closing Stock &amp; W Capital'!$D$15))*$C214*F$172</f>
        <v>0</v>
      </c>
      <c r="G214" s="199">
        <f>((E155*(1-'5.Closing Stock &amp; W Capital'!$D$15))+(D155*'5.Closing Stock &amp; W Capital'!$D$15))*$C214*G$172</f>
        <v>0</v>
      </c>
      <c r="H214" s="199">
        <f>((F155*(1-'5.Closing Stock &amp; W Capital'!$D$15))+(E155*'5.Closing Stock &amp; W Capital'!$D$15))*$C214*H$172</f>
        <v>0</v>
      </c>
      <c r="I214" s="199">
        <f>((G155*(1-'5.Closing Stock &amp; W Capital'!$D$15))+(F155*'5.Closing Stock &amp; W Capital'!$D$15))*$C214*I$172</f>
        <v>0</v>
      </c>
      <c r="J214" s="199">
        <f>((H155*(1-'5.Closing Stock &amp; W Capital'!$D$15))+(G155*'5.Closing Stock &amp; W Capital'!$D$15))*$C214*J$172</f>
        <v>0</v>
      </c>
      <c r="K214" s="93"/>
      <c r="L214" s="93"/>
    </row>
    <row r="215" spans="1:12">
      <c r="A215" s="96" t="str">
        <f t="shared" si="34"/>
        <v>Chilli</v>
      </c>
      <c r="B215" s="94" t="s">
        <v>361</v>
      </c>
      <c r="C215" s="250">
        <v>0</v>
      </c>
      <c r="D215" s="199">
        <f>(B156*(1-'5.Closing Stock &amp; W Capital'!$D$15))*$C215*D$172</f>
        <v>0</v>
      </c>
      <c r="E215" s="199">
        <f>((C156*(1-'5.Closing Stock &amp; W Capital'!$D$15))+(B156*'5.Closing Stock &amp; W Capital'!$D$15))*$C215*E$172</f>
        <v>0</v>
      </c>
      <c r="F215" s="199">
        <f>((D156*(1-'5.Closing Stock &amp; W Capital'!$D$15))+(C156*'5.Closing Stock &amp; W Capital'!$D$15))*$C215*F$172</f>
        <v>0</v>
      </c>
      <c r="G215" s="199">
        <f>((E156*(1-'5.Closing Stock &amp; W Capital'!$D$15))+(D156*'5.Closing Stock &amp; W Capital'!$D$15))*$C215*G$172</f>
        <v>0</v>
      </c>
      <c r="H215" s="199">
        <f>((F156*(1-'5.Closing Stock &amp; W Capital'!$D$15))+(E156*'5.Closing Stock &amp; W Capital'!$D$15))*$C215*H$172</f>
        <v>0</v>
      </c>
      <c r="I215" s="199">
        <f>((G156*(1-'5.Closing Stock &amp; W Capital'!$D$15))+(F156*'5.Closing Stock &amp; W Capital'!$D$15))*$C215*I$172</f>
        <v>0</v>
      </c>
      <c r="J215" s="199">
        <f>((H156*(1-'5.Closing Stock &amp; W Capital'!$D$15))+(G156*'5.Closing Stock &amp; W Capital'!$D$15))*$C215*J$172</f>
        <v>0</v>
      </c>
      <c r="K215" s="93"/>
      <c r="L215" s="93"/>
    </row>
    <row r="216" spans="1:12">
      <c r="A216" s="96" t="str">
        <f t="shared" si="34"/>
        <v>Brinjal</v>
      </c>
      <c r="B216" s="94" t="s">
        <v>361</v>
      </c>
      <c r="C216" s="250">
        <v>0</v>
      </c>
      <c r="D216" s="199">
        <f>(B157*(1-'5.Closing Stock &amp; W Capital'!$D$15))*$C216*D$172</f>
        <v>0</v>
      </c>
      <c r="E216" s="199">
        <f>((C157*(1-'5.Closing Stock &amp; W Capital'!$D$15))+(B157*'5.Closing Stock &amp; W Capital'!$D$15))*$C216*E$172</f>
        <v>0</v>
      </c>
      <c r="F216" s="199">
        <f>((D157*(1-'5.Closing Stock &amp; W Capital'!$D$15))+(C157*'5.Closing Stock &amp; W Capital'!$D$15))*$C216*F$172</f>
        <v>0</v>
      </c>
      <c r="G216" s="199">
        <f>((E157*(1-'5.Closing Stock &amp; W Capital'!$D$15))+(D157*'5.Closing Stock &amp; W Capital'!$D$15))*$C216*G$172</f>
        <v>0</v>
      </c>
      <c r="H216" s="199">
        <f>((F157*(1-'5.Closing Stock &amp; W Capital'!$D$15))+(E157*'5.Closing Stock &amp; W Capital'!$D$15))*$C216*H$172</f>
        <v>0</v>
      </c>
      <c r="I216" s="199">
        <f>((G157*(1-'5.Closing Stock &amp; W Capital'!$D$15))+(F157*'5.Closing Stock &amp; W Capital'!$D$15))*$C216*I$172</f>
        <v>0</v>
      </c>
      <c r="J216" s="199">
        <f>((H157*(1-'5.Closing Stock &amp; W Capital'!$D$15))+(G157*'5.Closing Stock &amp; W Capital'!$D$15))*$C216*J$172</f>
        <v>0</v>
      </c>
      <c r="K216" s="93"/>
      <c r="L216" s="93"/>
    </row>
    <row r="217" spans="1:12">
      <c r="A217" s="96">
        <f t="shared" si="34"/>
        <v>0</v>
      </c>
      <c r="B217" s="94" t="s">
        <v>361</v>
      </c>
      <c r="C217" s="250">
        <v>0</v>
      </c>
      <c r="D217" s="199">
        <f>(B158*(1-'5.Closing Stock &amp; W Capital'!$D$15))*$C217*D$172</f>
        <v>0</v>
      </c>
      <c r="E217" s="199">
        <f>((C158*(1-'5.Closing Stock &amp; W Capital'!$D$15))+(B158*'5.Closing Stock &amp; W Capital'!$D$15))*$C217*E$172</f>
        <v>0</v>
      </c>
      <c r="F217" s="199">
        <f>((D158*(1-'5.Closing Stock &amp; W Capital'!$D$15))+(C158*'5.Closing Stock &amp; W Capital'!$D$15))*$C217*F$172</f>
        <v>0</v>
      </c>
      <c r="G217" s="199">
        <f>((E158*(1-'5.Closing Stock &amp; W Capital'!$D$15))+(D158*'5.Closing Stock &amp; W Capital'!$D$15))*$C217*G$172</f>
        <v>0</v>
      </c>
      <c r="H217" s="199">
        <f>((F158*(1-'5.Closing Stock &amp; W Capital'!$D$15))+(E158*'5.Closing Stock &amp; W Capital'!$D$15))*$C217*H$172</f>
        <v>0</v>
      </c>
      <c r="I217" s="199">
        <f>((G158*(1-'5.Closing Stock &amp; W Capital'!$D$15))+(F158*'5.Closing Stock &amp; W Capital'!$D$15))*$C217*I$172</f>
        <v>0</v>
      </c>
      <c r="J217" s="199">
        <f>((H158*(1-'5.Closing Stock &amp; W Capital'!$D$15))+(G158*'5.Closing Stock &amp; W Capital'!$D$15))*$C217*J$172</f>
        <v>0</v>
      </c>
      <c r="K217" s="93"/>
      <c r="L217" s="93"/>
    </row>
    <row r="218" spans="1:12">
      <c r="A218" s="96">
        <f t="shared" si="34"/>
        <v>0</v>
      </c>
      <c r="B218" s="94" t="s">
        <v>361</v>
      </c>
      <c r="C218" s="250"/>
      <c r="D218" s="199">
        <f>(B159*(1-'5.Closing Stock &amp; W Capital'!$D$15))*$C218*D$172</f>
        <v>0</v>
      </c>
      <c r="E218" s="199">
        <f>((C159*(1-'5.Closing Stock &amp; W Capital'!$D$15))+(B159*'5.Closing Stock &amp; W Capital'!$D$15))*$C218*E$172</f>
        <v>0</v>
      </c>
      <c r="F218" s="199">
        <f>((D159*(1-'5.Closing Stock &amp; W Capital'!$D$15))+(C159*'5.Closing Stock &amp; W Capital'!$D$15))*$C218*F$172</f>
        <v>0</v>
      </c>
      <c r="G218" s="199">
        <f>((E159*(1-'5.Closing Stock &amp; W Capital'!$D$15))+(D159*'5.Closing Stock &amp; W Capital'!$D$15))*$C218*G$172</f>
        <v>0</v>
      </c>
      <c r="H218" s="199">
        <f>((F159*(1-'5.Closing Stock &amp; W Capital'!$D$15))+(E159*'5.Closing Stock &amp; W Capital'!$D$15))*$C218*H$172</f>
        <v>0</v>
      </c>
      <c r="I218" s="199">
        <f>((G159*(1-'5.Closing Stock &amp; W Capital'!$D$15))+(F159*'5.Closing Stock &amp; W Capital'!$D$15))*$C218*I$172</f>
        <v>0</v>
      </c>
      <c r="J218" s="199">
        <f>((H159*(1-'5.Closing Stock &amp; W Capital'!$D$15))+(G159*'5.Closing Stock &amp; W Capital'!$D$15))*$C218*J$172</f>
        <v>0</v>
      </c>
      <c r="K218" s="93"/>
      <c r="L218" s="93"/>
    </row>
    <row r="219" spans="1:12">
      <c r="A219" s="96">
        <f t="shared" si="34"/>
        <v>0</v>
      </c>
      <c r="B219" s="94" t="s">
        <v>361</v>
      </c>
      <c r="C219" s="250"/>
      <c r="D219" s="199">
        <f>(B160*(1-'5.Closing Stock &amp; W Capital'!$D$15))*$C219*D$172</f>
        <v>0</v>
      </c>
      <c r="E219" s="199">
        <f>((C160*(1-'5.Closing Stock &amp; W Capital'!$D$15))+(B160*'5.Closing Stock &amp; W Capital'!$D$15))*$C219*E$172</f>
        <v>0</v>
      </c>
      <c r="F219" s="199">
        <f>((D160*(1-'5.Closing Stock &amp; W Capital'!$D$15))+(C160*'5.Closing Stock &amp; W Capital'!$D$15))*$C219*F$172</f>
        <v>0</v>
      </c>
      <c r="G219" s="199">
        <f>((E160*(1-'5.Closing Stock &amp; W Capital'!$D$15))+(D160*'5.Closing Stock &amp; W Capital'!$D$15))*$C219*G$172</f>
        <v>0</v>
      </c>
      <c r="H219" s="199">
        <f>((F160*(1-'5.Closing Stock &amp; W Capital'!$D$15))+(E160*'5.Closing Stock &amp; W Capital'!$D$15))*$C219*H$172</f>
        <v>0</v>
      </c>
      <c r="I219" s="199">
        <f>((G160*(1-'5.Closing Stock &amp; W Capital'!$D$15))+(F160*'5.Closing Stock &amp; W Capital'!$D$15))*$C219*I$172</f>
        <v>0</v>
      </c>
      <c r="J219" s="199">
        <f>((H160*(1-'5.Closing Stock &amp; W Capital'!$D$15))+(G160*'5.Closing Stock &amp; W Capital'!$D$15))*$C219*J$172</f>
        <v>0</v>
      </c>
      <c r="K219" s="93"/>
      <c r="L219" s="93"/>
    </row>
    <row r="220" spans="1:12">
      <c r="A220" s="96">
        <f t="shared" si="34"/>
        <v>0</v>
      </c>
      <c r="B220" s="94" t="s">
        <v>361</v>
      </c>
      <c r="C220" s="250"/>
      <c r="D220" s="199">
        <f>(B161*(1-'5.Closing Stock &amp; W Capital'!$D$15))*$C220*D$172</f>
        <v>0</v>
      </c>
      <c r="E220" s="199">
        <f>((C161*(1-'5.Closing Stock &amp; W Capital'!$D$15))+(B161*'5.Closing Stock &amp; W Capital'!$D$15))*$C220*E$172</f>
        <v>0</v>
      </c>
      <c r="F220" s="199">
        <f>((D161*(1-'5.Closing Stock &amp; W Capital'!$D$15))+(C161*'5.Closing Stock &amp; W Capital'!$D$15))*$C220*F$172</f>
        <v>0</v>
      </c>
      <c r="G220" s="199">
        <f>((E161*(1-'5.Closing Stock &amp; W Capital'!$D$15))+(D161*'5.Closing Stock &amp; W Capital'!$D$15))*$C220*G$172</f>
        <v>0</v>
      </c>
      <c r="H220" s="199">
        <f>((F161*(1-'5.Closing Stock &amp; W Capital'!$D$15))+(E161*'5.Closing Stock &amp; W Capital'!$D$15))*$C220*H$172</f>
        <v>0</v>
      </c>
      <c r="I220" s="199">
        <f>((G161*(1-'5.Closing Stock &amp; W Capital'!$D$15))+(F161*'5.Closing Stock &amp; W Capital'!$D$15))*$C220*I$172</f>
        <v>0</v>
      </c>
      <c r="J220" s="199">
        <f>((H161*(1-'5.Closing Stock &amp; W Capital'!$D$15))+(G161*'5.Closing Stock &amp; W Capital'!$D$15))*$C220*J$172</f>
        <v>0</v>
      </c>
      <c r="K220" s="93"/>
      <c r="L220" s="93"/>
    </row>
    <row r="221" spans="1:12">
      <c r="A221" s="96">
        <f t="shared" ref="A221:A223" si="35">A162</f>
        <v>0</v>
      </c>
      <c r="B221" s="94" t="s">
        <v>361</v>
      </c>
      <c r="C221" s="250"/>
      <c r="D221" s="199">
        <f>(B162*(1-'5.Closing Stock &amp; W Capital'!$D$15))*$C221*D$172</f>
        <v>0</v>
      </c>
      <c r="E221" s="199">
        <f>((C162*(1-'5.Closing Stock &amp; W Capital'!$D$15))+(B162*'5.Closing Stock &amp; W Capital'!$D$15))*$C221*E$172</f>
        <v>0</v>
      </c>
      <c r="F221" s="199">
        <f>((D162*(1-'5.Closing Stock &amp; W Capital'!$D$15))+(C162*'5.Closing Stock &amp; W Capital'!$D$15))*$C221*F$172</f>
        <v>0</v>
      </c>
      <c r="G221" s="199">
        <f>((E162*(1-'5.Closing Stock &amp; W Capital'!$D$15))+(D162*'5.Closing Stock &amp; W Capital'!$D$15))*$C221*G$172</f>
        <v>0</v>
      </c>
      <c r="H221" s="199">
        <f>((F162*(1-'5.Closing Stock &amp; W Capital'!$D$15))+(E162*'5.Closing Stock &amp; W Capital'!$D$15))*$C221*H$172</f>
        <v>0</v>
      </c>
      <c r="I221" s="199">
        <f>((G162*(1-'5.Closing Stock &amp; W Capital'!$D$15))+(F162*'5.Closing Stock &amp; W Capital'!$D$15))*$C221*I$172</f>
        <v>0</v>
      </c>
      <c r="J221" s="199">
        <f>((H162*(1-'5.Closing Stock &amp; W Capital'!$D$15))+(G162*'5.Closing Stock &amp; W Capital'!$D$15))*$C221*J$172</f>
        <v>0</v>
      </c>
      <c r="K221" s="93"/>
      <c r="L221" s="93"/>
    </row>
    <row r="222" spans="1:12">
      <c r="A222" s="96">
        <f t="shared" si="35"/>
        <v>0</v>
      </c>
      <c r="B222" s="94" t="s">
        <v>361</v>
      </c>
      <c r="C222" s="250"/>
      <c r="D222" s="199">
        <f>(B163*(1-'5.Closing Stock &amp; W Capital'!$D$15))*$C222*D$172</f>
        <v>0</v>
      </c>
      <c r="E222" s="199">
        <f>((C163*(1-'5.Closing Stock &amp; W Capital'!$D$15))+(B163*'5.Closing Stock &amp; W Capital'!$D$15))*$C222*E$172</f>
        <v>0</v>
      </c>
      <c r="F222" s="199">
        <f>((D163*(1-'5.Closing Stock &amp; W Capital'!$D$15))+(C163*'5.Closing Stock &amp; W Capital'!$D$15))*$C222*F$172</f>
        <v>0</v>
      </c>
      <c r="G222" s="199">
        <f>((E163*(1-'5.Closing Stock &amp; W Capital'!$D$15))+(D163*'5.Closing Stock &amp; W Capital'!$D$15))*$C222*G$172</f>
        <v>0</v>
      </c>
      <c r="H222" s="199">
        <f>((F163*(1-'5.Closing Stock &amp; W Capital'!$D$15))+(E163*'5.Closing Stock &amp; W Capital'!$D$15))*$C222*H$172</f>
        <v>0</v>
      </c>
      <c r="I222" s="199">
        <f>((G163*(1-'5.Closing Stock &amp; W Capital'!$D$15))+(F163*'5.Closing Stock &amp; W Capital'!$D$15))*$C222*I$172</f>
        <v>0</v>
      </c>
      <c r="J222" s="199">
        <f>((H163*(1-'5.Closing Stock &amp; W Capital'!$D$15))+(G163*'5.Closing Stock &amp; W Capital'!$D$15))*$C222*J$172</f>
        <v>0</v>
      </c>
      <c r="K222" s="93"/>
      <c r="L222" s="93"/>
    </row>
    <row r="223" spans="1:12">
      <c r="A223" s="96">
        <f t="shared" si="35"/>
        <v>0</v>
      </c>
      <c r="B223" s="94" t="s">
        <v>361</v>
      </c>
      <c r="C223" s="250"/>
      <c r="D223" s="199">
        <f>(B164*(1-'5.Closing Stock &amp; W Capital'!$D$15))*$C223*D$172</f>
        <v>0</v>
      </c>
      <c r="E223" s="199">
        <f>((C164*(1-'5.Closing Stock &amp; W Capital'!$D$15))+(B164*'5.Closing Stock &amp; W Capital'!$D$15))*$C223*E$172</f>
        <v>0</v>
      </c>
      <c r="F223" s="199">
        <f>((D164*(1-'5.Closing Stock &amp; W Capital'!$D$15))+(C164*'5.Closing Stock &amp; W Capital'!$D$15))*$C223*F$172</f>
        <v>0</v>
      </c>
      <c r="G223" s="199">
        <f>((E164*(1-'5.Closing Stock &amp; W Capital'!$D$15))+(D164*'5.Closing Stock &amp; W Capital'!$D$15))*$C223*G$172</f>
        <v>0</v>
      </c>
      <c r="H223" s="199">
        <f>((F164*(1-'5.Closing Stock &amp; W Capital'!$D$15))+(E164*'5.Closing Stock &amp; W Capital'!$D$15))*$C223*H$172</f>
        <v>0</v>
      </c>
      <c r="I223" s="199">
        <f>((G164*(1-'5.Closing Stock &amp; W Capital'!$D$15))+(F164*'5.Closing Stock &amp; W Capital'!$D$15))*$C223*I$172</f>
        <v>0</v>
      </c>
      <c r="J223" s="199">
        <f>((H164*(1-'5.Closing Stock &amp; W Capital'!$D$15))+(G164*'5.Closing Stock &amp; W Capital'!$D$15))*$C223*J$172</f>
        <v>0</v>
      </c>
      <c r="K223" s="93"/>
      <c r="L223" s="93"/>
    </row>
    <row r="224" spans="1:12">
      <c r="A224" s="96" t="str">
        <f t="shared" ref="A224:A227" si="36">A165</f>
        <v>Pomegranate</v>
      </c>
      <c r="B224" s="94" t="s">
        <v>361</v>
      </c>
      <c r="C224" s="250"/>
      <c r="D224" s="199">
        <f>(B165*(1-'5.Closing Stock &amp; W Capital'!$D$15))*$C224*D$172</f>
        <v>0</v>
      </c>
      <c r="E224" s="199">
        <f>((C165*(1-'5.Closing Stock &amp; W Capital'!$D$15))+(B165*'5.Closing Stock &amp; W Capital'!$D$15))*$C224*E$172</f>
        <v>0</v>
      </c>
      <c r="F224" s="199">
        <f>((D165*(1-'5.Closing Stock &amp; W Capital'!$D$15))+(C165*'5.Closing Stock &amp; W Capital'!$D$15))*$C224*F$172</f>
        <v>0</v>
      </c>
      <c r="G224" s="199">
        <f>((E165*(1-'5.Closing Stock &amp; W Capital'!$D$15))+(D165*'5.Closing Stock &amp; W Capital'!$D$15))*$C224*G$172</f>
        <v>0</v>
      </c>
      <c r="H224" s="199">
        <f>((F165*(1-'5.Closing Stock &amp; W Capital'!$D$15))+(E165*'5.Closing Stock &amp; W Capital'!$D$15))*$C224*H$172</f>
        <v>0</v>
      </c>
      <c r="I224" s="199">
        <f>((G165*(1-'5.Closing Stock &amp; W Capital'!$D$15))+(F165*'5.Closing Stock &amp; W Capital'!$D$15))*$C224*I$172</f>
        <v>0</v>
      </c>
      <c r="J224" s="199">
        <f>((H165*(1-'5.Closing Stock &amp; W Capital'!$D$15))+(G165*'5.Closing Stock &amp; W Capital'!$D$15))*$C224*J$172</f>
        <v>0</v>
      </c>
      <c r="K224" s="93"/>
      <c r="L224" s="93"/>
    </row>
    <row r="225" spans="1:12">
      <c r="A225" s="96" t="str">
        <f t="shared" si="36"/>
        <v>Custard Apple</v>
      </c>
      <c r="B225" s="94" t="s">
        <v>361</v>
      </c>
      <c r="C225" s="250"/>
      <c r="D225" s="199">
        <f>(B166*(1-'5.Closing Stock &amp; W Capital'!$D$15))*$C225*D$172</f>
        <v>0</v>
      </c>
      <c r="E225" s="199">
        <f>((C166*(1-'5.Closing Stock &amp; W Capital'!$D$15))+(B166*'5.Closing Stock &amp; W Capital'!$D$15))*$C225*E$172</f>
        <v>0</v>
      </c>
      <c r="F225" s="199">
        <f>((D166*(1-'5.Closing Stock &amp; W Capital'!$D$15))+(C166*'5.Closing Stock &amp; W Capital'!$D$15))*$C225*F$172</f>
        <v>0</v>
      </c>
      <c r="G225" s="199">
        <f>((E166*(1-'5.Closing Stock &amp; W Capital'!$D$15))+(D166*'5.Closing Stock &amp; W Capital'!$D$15))*$C225*G$172</f>
        <v>0</v>
      </c>
      <c r="H225" s="199">
        <f>((F166*(1-'5.Closing Stock &amp; W Capital'!$D$15))+(E166*'5.Closing Stock &amp; W Capital'!$D$15))*$C225*H$172</f>
        <v>0</v>
      </c>
      <c r="I225" s="199">
        <f>((G166*(1-'5.Closing Stock &amp; W Capital'!$D$15))+(F166*'5.Closing Stock &amp; W Capital'!$D$15))*$C225*I$172</f>
        <v>0</v>
      </c>
      <c r="J225" s="199">
        <f>((H166*(1-'5.Closing Stock &amp; W Capital'!$D$15))+(G166*'5.Closing Stock &amp; W Capital'!$D$15))*$C225*J$172</f>
        <v>0</v>
      </c>
      <c r="K225" s="93"/>
      <c r="L225" s="93"/>
    </row>
    <row r="226" spans="1:12">
      <c r="A226" s="96" t="str">
        <f t="shared" si="36"/>
        <v>Guava</v>
      </c>
      <c r="B226" s="94" t="s">
        <v>361</v>
      </c>
      <c r="C226" s="250"/>
      <c r="D226" s="199">
        <f>(B167*(1-'5.Closing Stock &amp; W Capital'!$D$15))*$C226*D$172</f>
        <v>0</v>
      </c>
      <c r="E226" s="199">
        <f>((C167*(1-'5.Closing Stock &amp; W Capital'!$D$15))+(B167*'5.Closing Stock &amp; W Capital'!$D$15))*$C226*E$172</f>
        <v>0</v>
      </c>
      <c r="F226" s="199">
        <f>((D167*(1-'5.Closing Stock &amp; W Capital'!$D$15))+(C167*'5.Closing Stock &amp; W Capital'!$D$15))*$C226*F$172</f>
        <v>0</v>
      </c>
      <c r="G226" s="199">
        <f>((E167*(1-'5.Closing Stock &amp; W Capital'!$D$15))+(D167*'5.Closing Stock &amp; W Capital'!$D$15))*$C226*G$172</f>
        <v>0</v>
      </c>
      <c r="H226" s="199">
        <f>((F167*(1-'5.Closing Stock &amp; W Capital'!$D$15))+(E167*'5.Closing Stock &amp; W Capital'!$D$15))*$C226*H$172</f>
        <v>0</v>
      </c>
      <c r="I226" s="199">
        <f>((G167*(1-'5.Closing Stock &amp; W Capital'!$D$15))+(F167*'5.Closing Stock &amp; W Capital'!$D$15))*$C226*I$172</f>
        <v>0</v>
      </c>
      <c r="J226" s="199">
        <f>((H167*(1-'5.Closing Stock &amp; W Capital'!$D$15))+(G167*'5.Closing Stock &amp; W Capital'!$D$15))*$C226*J$172</f>
        <v>0</v>
      </c>
      <c r="K226" s="93"/>
      <c r="L226" s="93"/>
    </row>
    <row r="227" spans="1:12">
      <c r="A227" s="96" t="str">
        <f t="shared" si="36"/>
        <v>Citrus</v>
      </c>
      <c r="B227" s="94" t="s">
        <v>361</v>
      </c>
      <c r="C227" s="250"/>
      <c r="D227" s="199">
        <f>(B168*(1-'5.Closing Stock &amp; W Capital'!$D$15))*$C227*D$172</f>
        <v>0</v>
      </c>
      <c r="E227" s="199">
        <f>((C168*(1-'5.Closing Stock &amp; W Capital'!$D$15))+(B168*'5.Closing Stock &amp; W Capital'!$D$15))*$C227*E$172</f>
        <v>0</v>
      </c>
      <c r="F227" s="199">
        <f>((D168*(1-'5.Closing Stock &amp; W Capital'!$D$15))+(C168*'5.Closing Stock &amp; W Capital'!$D$15))*$C227*F$172</f>
        <v>0</v>
      </c>
      <c r="G227" s="199">
        <f>((E168*(1-'5.Closing Stock &amp; W Capital'!$D$15))+(D168*'5.Closing Stock &amp; W Capital'!$D$15))*$C227*G$172</f>
        <v>0</v>
      </c>
      <c r="H227" s="199">
        <f>((F168*(1-'5.Closing Stock &amp; W Capital'!$D$15))+(E168*'5.Closing Stock &amp; W Capital'!$D$15))*$C227*H$172</f>
        <v>0</v>
      </c>
      <c r="I227" s="199">
        <f>((G168*(1-'5.Closing Stock &amp; W Capital'!$D$15))+(F168*'5.Closing Stock &amp; W Capital'!$D$15))*$C227*I$172</f>
        <v>0</v>
      </c>
      <c r="J227" s="199">
        <f>((H168*(1-'5.Closing Stock &amp; W Capital'!$D$15))+(G168*'5.Closing Stock &amp; W Capital'!$D$15))*$C227*J$172</f>
        <v>0</v>
      </c>
      <c r="K227" s="93"/>
      <c r="L227" s="93"/>
    </row>
    <row r="228" spans="1:12">
      <c r="A228" s="96"/>
      <c r="B228" s="96"/>
      <c r="C228" s="96"/>
      <c r="D228" s="94"/>
      <c r="E228" s="94"/>
      <c r="F228" s="94"/>
      <c r="G228" s="94"/>
      <c r="H228" s="94"/>
      <c r="I228" s="94"/>
      <c r="J228" s="94"/>
      <c r="K228" s="93"/>
      <c r="L228" s="93"/>
    </row>
    <row r="229" spans="1:12">
      <c r="A229" s="96" t="s">
        <v>142</v>
      </c>
      <c r="B229" s="96"/>
      <c r="C229" s="96"/>
      <c r="D229" s="201">
        <f t="shared" ref="D229:J229" si="37">SUM(D178:D228)</f>
        <v>30335553.342360001</v>
      </c>
      <c r="E229" s="201">
        <f t="shared" si="37"/>
        <v>45094192.092873015</v>
      </c>
      <c r="F229" s="201">
        <f t="shared" si="37"/>
        <v>54311358.992659651</v>
      </c>
      <c r="G229" s="201">
        <f t="shared" si="37"/>
        <v>64337507.102192797</v>
      </c>
      <c r="H229" s="201">
        <f t="shared" si="37"/>
        <v>75230491.625197604</v>
      </c>
      <c r="I229" s="201">
        <f t="shared" si="37"/>
        <v>87051930.8327474</v>
      </c>
      <c r="J229" s="201">
        <f t="shared" si="37"/>
        <v>99867437.731989205</v>
      </c>
      <c r="K229" s="93"/>
      <c r="L229" s="93"/>
    </row>
    <row r="230" spans="1:12">
      <c r="A230" s="94"/>
      <c r="B230" s="94"/>
      <c r="C230" s="94"/>
      <c r="D230" s="94"/>
      <c r="E230" s="94"/>
      <c r="F230" s="94"/>
      <c r="G230" s="94"/>
      <c r="H230" s="94"/>
      <c r="I230" s="94"/>
      <c r="J230" s="94"/>
      <c r="K230" s="93"/>
      <c r="L230" s="93"/>
    </row>
    <row r="231" spans="1:12">
      <c r="A231" s="96" t="s">
        <v>141</v>
      </c>
      <c r="B231" s="96"/>
      <c r="C231" s="96"/>
      <c r="D231" s="94"/>
      <c r="E231" s="94"/>
      <c r="F231" s="94"/>
      <c r="G231" s="94"/>
      <c r="H231" s="94"/>
      <c r="I231" s="94"/>
      <c r="J231" s="94"/>
      <c r="K231" s="93"/>
      <c r="L231" s="93"/>
    </row>
    <row r="232" spans="1:12">
      <c r="A232" s="96" t="s">
        <v>312</v>
      </c>
      <c r="B232" s="96"/>
      <c r="C232" s="94"/>
      <c r="D232" s="94"/>
      <c r="E232" s="94"/>
      <c r="F232" s="94"/>
      <c r="G232" s="94"/>
      <c r="H232" s="94"/>
      <c r="I232" s="94"/>
      <c r="J232" s="94"/>
      <c r="K232" s="93"/>
      <c r="L232" s="93"/>
    </row>
    <row r="233" spans="1:12">
      <c r="A233" s="94" t="str">
        <f t="shared" ref="A233:A254" si="38">A178</f>
        <v>Soybean</v>
      </c>
      <c r="B233" s="94" t="s">
        <v>361</v>
      </c>
      <c r="C233" s="247">
        <v>4000</v>
      </c>
      <c r="D233" s="95">
        <f>B68*$C$233*D$172</f>
        <v>5919091.1999999993</v>
      </c>
      <c r="E233" s="95">
        <f>C68*$C$233*E$172</f>
        <v>7250886.7199999979</v>
      </c>
      <c r="F233" s="95">
        <f>D68*$C$233*F172</f>
        <v>8701064.0639999993</v>
      </c>
      <c r="G233" s="95">
        <f>E68*$C$233*G172</f>
        <v>10278131.9256</v>
      </c>
      <c r="H233" s="95">
        <f>F68*$C$233*H172</f>
        <v>11991153.913199998</v>
      </c>
      <c r="I233" s="95">
        <f>G68*$C$233*I172</f>
        <v>13849782.769746</v>
      </c>
      <c r="J233" s="95">
        <f>H68*$C$233*J172</f>
        <v>15864296.627163602</v>
      </c>
      <c r="K233" s="93"/>
      <c r="L233" s="93"/>
    </row>
    <row r="234" spans="1:12">
      <c r="A234" s="94" t="str">
        <f t="shared" si="38"/>
        <v>Tur</v>
      </c>
      <c r="B234" s="94" t="s">
        <v>361</v>
      </c>
      <c r="C234" s="247">
        <v>4000</v>
      </c>
      <c r="D234" s="95">
        <f>B69*$C$234*D$172</f>
        <v>709992</v>
      </c>
      <c r="E234" s="95">
        <f t="shared" ref="E234:J234" si="39">C69*$C$234*E172</f>
        <v>869740.20000000007</v>
      </c>
      <c r="F234" s="95">
        <f t="shared" si="39"/>
        <v>1043688.24</v>
      </c>
      <c r="G234" s="95">
        <f t="shared" si="39"/>
        <v>1232856.7334999999</v>
      </c>
      <c r="H234" s="95">
        <f t="shared" si="39"/>
        <v>1438332.8557500003</v>
      </c>
      <c r="I234" s="95">
        <f t="shared" si="39"/>
        <v>1661274.4483912501</v>
      </c>
      <c r="J234" s="95">
        <f t="shared" si="39"/>
        <v>1902914.3681572506</v>
      </c>
      <c r="K234" s="93"/>
      <c r="L234" s="93"/>
    </row>
    <row r="235" spans="1:12">
      <c r="A235" s="94" t="str">
        <f t="shared" si="38"/>
        <v>Turmeric</v>
      </c>
      <c r="B235" s="94" t="s">
        <v>361</v>
      </c>
      <c r="C235" s="247">
        <v>6000</v>
      </c>
      <c r="D235" s="95">
        <f>B70*$C$235*D$172</f>
        <v>15093682.560000001</v>
      </c>
      <c r="E235" s="95">
        <f t="shared" ref="E235:J235" si="40">C70*$C$235*E172</f>
        <v>18489761.136000004</v>
      </c>
      <c r="F235" s="95">
        <f t="shared" si="40"/>
        <v>22187713.363200001</v>
      </c>
      <c r="G235" s="95">
        <f t="shared" si="40"/>
        <v>26209236.410280004</v>
      </c>
      <c r="H235" s="95">
        <f t="shared" si="40"/>
        <v>30577442.478660014</v>
      </c>
      <c r="I235" s="95">
        <f t="shared" si="40"/>
        <v>35316946.062852308</v>
      </c>
      <c r="J235" s="95">
        <f t="shared" si="40"/>
        <v>40453956.399267197</v>
      </c>
      <c r="K235" s="93"/>
      <c r="L235" s="93"/>
    </row>
    <row r="236" spans="1:12">
      <c r="A236" s="94" t="str">
        <f t="shared" si="38"/>
        <v>Moong</v>
      </c>
      <c r="B236" s="94" t="s">
        <v>361</v>
      </c>
      <c r="C236" s="247">
        <v>2000</v>
      </c>
      <c r="D236" s="95">
        <f t="shared" ref="D236:J236" si="41">B71*$C$236*D$172</f>
        <v>258960.24000000005</v>
      </c>
      <c r="E236" s="95">
        <f t="shared" si="41"/>
        <v>317226.29400000005</v>
      </c>
      <c r="F236" s="95">
        <f t="shared" si="41"/>
        <v>380671.5528</v>
      </c>
      <c r="G236" s="95">
        <f t="shared" si="41"/>
        <v>449668.27174500003</v>
      </c>
      <c r="H236" s="95">
        <f t="shared" si="41"/>
        <v>524612.98370250012</v>
      </c>
      <c r="I236" s="95">
        <f t="shared" si="41"/>
        <v>605927.99617638765</v>
      </c>
      <c r="J236" s="95">
        <f t="shared" si="41"/>
        <v>694062.97743840783</v>
      </c>
      <c r="K236" s="93"/>
      <c r="L236" s="93"/>
    </row>
    <row r="237" spans="1:12">
      <c r="A237" s="94" t="str">
        <f t="shared" si="38"/>
        <v>Maize</v>
      </c>
      <c r="B237" s="94" t="s">
        <v>361</v>
      </c>
      <c r="C237" s="247"/>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Udid</v>
      </c>
      <c r="B238" s="94" t="s">
        <v>361</v>
      </c>
      <c r="C238" s="247">
        <v>5000</v>
      </c>
      <c r="D238" s="95">
        <f t="shared" ref="D238:J238" si="43">B73*$C$238*D$172</f>
        <v>739886.4</v>
      </c>
      <c r="E238" s="95">
        <f t="shared" si="43"/>
        <v>906360.84000000008</v>
      </c>
      <c r="F238" s="95">
        <f t="shared" si="43"/>
        <v>1087633.0080000001</v>
      </c>
      <c r="G238" s="95">
        <f t="shared" si="43"/>
        <v>1284766.4907</v>
      </c>
      <c r="H238" s="95">
        <f t="shared" si="43"/>
        <v>1498894.23915</v>
      </c>
      <c r="I238" s="95">
        <f t="shared" si="43"/>
        <v>1731222.8462182505</v>
      </c>
      <c r="J238" s="95">
        <f t="shared" si="43"/>
        <v>1983037.0783954503</v>
      </c>
      <c r="K238" s="93"/>
      <c r="L238" s="93"/>
    </row>
    <row r="239" spans="1:12">
      <c r="A239" s="94" t="str">
        <f t="shared" si="38"/>
        <v>Bajra</v>
      </c>
      <c r="B239" s="94" t="s">
        <v>361</v>
      </c>
      <c r="C239" s="247">
        <v>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361</v>
      </c>
      <c r="C240" s="247">
        <f>+C185*90/100</f>
        <v>1800</v>
      </c>
      <c r="D240" s="95">
        <f t="shared" ref="D240:J240" si="45">B75*$C$240*D$172</f>
        <v>326222.63999999996</v>
      </c>
      <c r="E240" s="95">
        <f t="shared" si="45"/>
        <v>399622.734</v>
      </c>
      <c r="F240" s="95">
        <f t="shared" si="45"/>
        <v>479547.28080000001</v>
      </c>
      <c r="G240" s="95">
        <f t="shared" si="45"/>
        <v>566465.22544499999</v>
      </c>
      <c r="H240" s="95">
        <f t="shared" si="45"/>
        <v>660876.09635250014</v>
      </c>
      <c r="I240" s="95">
        <f t="shared" si="45"/>
        <v>763311.89128713764</v>
      </c>
      <c r="J240" s="95">
        <f t="shared" si="45"/>
        <v>874339.07547435793</v>
      </c>
      <c r="K240" s="93"/>
      <c r="L240" s="93"/>
    </row>
    <row r="241" spans="1:12">
      <c r="A241" s="94" t="str">
        <f t="shared" si="38"/>
        <v>Channa</v>
      </c>
      <c r="B241" s="94" t="s">
        <v>361</v>
      </c>
      <c r="C241" s="247"/>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361</v>
      </c>
      <c r="C242" s="247">
        <f>+C187*90/100</f>
        <v>1980</v>
      </c>
      <c r="D242" s="95">
        <f t="shared" ref="D242:J242" si="47">B77*$C$242*D$172</f>
        <v>948904.30799999961</v>
      </c>
      <c r="E242" s="95">
        <f t="shared" si="47"/>
        <v>1162407.7772999997</v>
      </c>
      <c r="F242" s="95">
        <f t="shared" si="47"/>
        <v>1394889.3327599994</v>
      </c>
      <c r="G242" s="95">
        <f t="shared" si="47"/>
        <v>1647713.0243227493</v>
      </c>
      <c r="H242" s="95">
        <f t="shared" si="47"/>
        <v>1922331.8617098744</v>
      </c>
      <c r="I242" s="95">
        <f t="shared" si="47"/>
        <v>2220293.3002749053</v>
      </c>
      <c r="J242" s="95">
        <f t="shared" si="47"/>
        <v>2543245.0530421645</v>
      </c>
      <c r="K242" s="93"/>
      <c r="L242" s="93"/>
    </row>
    <row r="243" spans="1:12">
      <c r="A243" s="94" t="str">
        <f t="shared" si="38"/>
        <v>Channa</v>
      </c>
      <c r="B243" s="94" t="s">
        <v>361</v>
      </c>
      <c r="C243" s="247">
        <v>4000</v>
      </c>
      <c r="D243" s="95">
        <f t="shared" ref="D243:J243" si="48">B78*$C$243*D$172</f>
        <v>5963932.7999999998</v>
      </c>
      <c r="E243" s="95">
        <f t="shared" si="48"/>
        <v>7305817.6799999988</v>
      </c>
      <c r="F243" s="95">
        <f t="shared" si="48"/>
        <v>8766981.2159999982</v>
      </c>
      <c r="G243" s="95">
        <f t="shared" si="48"/>
        <v>10355996.561399998</v>
      </c>
      <c r="H243" s="95">
        <f t="shared" si="48"/>
        <v>12081995.988299998</v>
      </c>
      <c r="I243" s="95">
        <f t="shared" si="48"/>
        <v>13954705.366486503</v>
      </c>
      <c r="J243" s="95">
        <f t="shared" si="48"/>
        <v>15984480.692520905</v>
      </c>
      <c r="K243" s="93"/>
      <c r="L243" s="93"/>
    </row>
    <row r="244" spans="1:12">
      <c r="A244" s="94" t="str">
        <f t="shared" si="38"/>
        <v>Jawar</v>
      </c>
      <c r="B244" s="94" t="s">
        <v>361</v>
      </c>
      <c r="C244" s="247"/>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361</v>
      </c>
      <c r="C245" s="247"/>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361</v>
      </c>
      <c r="C246" s="247"/>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t="str">
        <f t="shared" si="38"/>
        <v>Groundnut</v>
      </c>
      <c r="B247" s="94" t="s">
        <v>361</v>
      </c>
      <c r="C247" s="247"/>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361</v>
      </c>
      <c r="C248" s="247"/>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361</v>
      </c>
      <c r="C249" s="247"/>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Soybean</v>
      </c>
      <c r="B250" s="94" t="s">
        <v>361</v>
      </c>
      <c r="C250" s="247"/>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f t="shared" si="38"/>
        <v>0</v>
      </c>
      <c r="B251" s="94" t="s">
        <v>361</v>
      </c>
      <c r="C251" s="247"/>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361</v>
      </c>
      <c r="C252" s="247"/>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361</v>
      </c>
      <c r="C253" s="247"/>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361</v>
      </c>
      <c r="C254" s="247"/>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7"/>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7"/>
      <c r="D256" s="95"/>
      <c r="E256" s="95"/>
      <c r="F256" s="95"/>
      <c r="G256" s="95"/>
      <c r="H256" s="95"/>
      <c r="I256" s="95"/>
      <c r="J256" s="95"/>
      <c r="K256" s="93"/>
      <c r="L256" s="93"/>
    </row>
    <row r="257" spans="1:12">
      <c r="A257" s="94" t="str">
        <f t="shared" si="55"/>
        <v>Onion</v>
      </c>
      <c r="B257" s="94" t="s">
        <v>361</v>
      </c>
      <c r="C257" s="247">
        <f>+C203*95/100</f>
        <v>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361</v>
      </c>
      <c r="C258" s="247">
        <f>+C204*95/100</f>
        <v>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361</v>
      </c>
      <c r="C259" s="247">
        <v>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361</v>
      </c>
      <c r="C260" s="247">
        <f>+C206*95/100</f>
        <v>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361</v>
      </c>
      <c r="C261" s="247">
        <f>+C207*95/100</f>
        <v>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361</v>
      </c>
      <c r="C262" s="247"/>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361</v>
      </c>
      <c r="C263" s="247"/>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361</v>
      </c>
      <c r="C264" s="247"/>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361</v>
      </c>
      <c r="C265" s="247"/>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361</v>
      </c>
      <c r="C266" s="247"/>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361</v>
      </c>
      <c r="C267" s="247"/>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361</v>
      </c>
      <c r="C268" s="247"/>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361</v>
      </c>
      <c r="C269" s="247"/>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361</v>
      </c>
      <c r="C270" s="247"/>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361</v>
      </c>
      <c r="C271" s="247"/>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361</v>
      </c>
      <c r="C272" s="247"/>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361</v>
      </c>
      <c r="C273" s="247"/>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361</v>
      </c>
      <c r="C274" s="247"/>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361</v>
      </c>
      <c r="C275" s="247"/>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361</v>
      </c>
      <c r="C276" s="247"/>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361</v>
      </c>
      <c r="C277" s="247"/>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361</v>
      </c>
      <c r="C278" s="247"/>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361</v>
      </c>
      <c r="C279" s="247"/>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7"/>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7"/>
      <c r="D281" s="95"/>
      <c r="E281" s="95"/>
      <c r="F281" s="95"/>
      <c r="G281" s="95"/>
      <c r="H281" s="95"/>
      <c r="I281" s="95"/>
      <c r="J281" s="95"/>
      <c r="K281" s="93"/>
      <c r="L281" s="93"/>
    </row>
    <row r="282" spans="1:12">
      <c r="A282" s="94" t="s">
        <v>309</v>
      </c>
      <c r="B282" s="229">
        <v>5</v>
      </c>
      <c r="C282" s="229">
        <v>30</v>
      </c>
      <c r="D282" s="95">
        <f t="shared" ref="D282:J282" si="64">B10*$B$282*$C$282*D172</f>
        <v>2138.8217062499998</v>
      </c>
      <c r="E282" s="95">
        <f t="shared" si="64"/>
        <v>2620.05659015625</v>
      </c>
      <c r="F282" s="95">
        <f t="shared" si="64"/>
        <v>3144.0679081875001</v>
      </c>
      <c r="G282" s="95">
        <f t="shared" si="64"/>
        <v>3713.9302165464837</v>
      </c>
      <c r="H282" s="95">
        <f t="shared" si="64"/>
        <v>4332.9185859708987</v>
      </c>
      <c r="I282" s="95">
        <f t="shared" si="64"/>
        <v>5004.5209667963882</v>
      </c>
      <c r="J282" s="95">
        <f t="shared" si="64"/>
        <v>5732.4512892394996</v>
      </c>
      <c r="K282" s="93"/>
      <c r="L282" s="93"/>
    </row>
    <row r="283" spans="1:12">
      <c r="A283" s="94" t="s">
        <v>143</v>
      </c>
      <c r="B283" s="94">
        <f>'2.Capex Details'!H66*0.746*8</f>
        <v>289.44799999999998</v>
      </c>
      <c r="C283" s="229">
        <v>6</v>
      </c>
      <c r="D283" s="95">
        <f t="shared" ref="D283:J283" si="65">$B$283*$C$283*D172*B10</f>
        <v>24763.106609225997</v>
      </c>
      <c r="E283" s="95">
        <f t="shared" si="65"/>
        <v>30334.805596301845</v>
      </c>
      <c r="F283" s="95">
        <f t="shared" si="65"/>
        <v>36401.766715562218</v>
      </c>
      <c r="G283" s="95">
        <f t="shared" si="65"/>
        <v>42999.586932757869</v>
      </c>
      <c r="H283" s="95">
        <f t="shared" si="65"/>
        <v>50166.184754884191</v>
      </c>
      <c r="I283" s="95">
        <f t="shared" si="65"/>
        <v>57941.943391891233</v>
      </c>
      <c r="J283" s="95">
        <f t="shared" si="65"/>
        <v>66369.862430711786</v>
      </c>
      <c r="K283" s="93"/>
      <c r="L283" s="93"/>
    </row>
    <row r="284" spans="1:12">
      <c r="A284" s="94" t="s">
        <v>464</v>
      </c>
      <c r="B284" s="94"/>
      <c r="C284" s="229">
        <v>30</v>
      </c>
      <c r="D284" s="95">
        <f t="shared" ref="D284:J284" si="66">SUM(B120:B141)*$C$284*D172</f>
        <v>199167.07728599999</v>
      </c>
      <c r="E284" s="95">
        <f t="shared" si="66"/>
        <v>243979.66967534996</v>
      </c>
      <c r="F284" s="95">
        <f t="shared" si="66"/>
        <v>292775.60361041996</v>
      </c>
      <c r="G284" s="95">
        <f t="shared" si="66"/>
        <v>345841.18176480854</v>
      </c>
      <c r="H284" s="95">
        <f t="shared" si="66"/>
        <v>403481.37872561003</v>
      </c>
      <c r="I284" s="95">
        <f t="shared" si="66"/>
        <v>466020.99242807977</v>
      </c>
      <c r="J284" s="95">
        <f t="shared" si="66"/>
        <v>533805.86405398219</v>
      </c>
      <c r="K284" s="93"/>
      <c r="L284" s="93"/>
    </row>
    <row r="285" spans="1:12">
      <c r="A285" s="94" t="s">
        <v>463</v>
      </c>
      <c r="B285" s="94"/>
      <c r="C285" s="229">
        <v>30</v>
      </c>
      <c r="D285" s="95">
        <f t="shared" ref="D285:J285" si="67">SUM(B120:B141)*$C$285*D172</f>
        <v>199167.07728599999</v>
      </c>
      <c r="E285" s="95">
        <f t="shared" si="67"/>
        <v>243979.66967534996</v>
      </c>
      <c r="F285" s="95">
        <f t="shared" si="67"/>
        <v>292775.60361041996</v>
      </c>
      <c r="G285" s="95">
        <f t="shared" si="67"/>
        <v>345841.18176480854</v>
      </c>
      <c r="H285" s="95">
        <f t="shared" si="67"/>
        <v>403481.37872561003</v>
      </c>
      <c r="I285" s="95">
        <f t="shared" si="67"/>
        <v>466020.99242807977</v>
      </c>
      <c r="J285" s="95">
        <f t="shared" si="67"/>
        <v>533805.86405398219</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341</v>
      </c>
      <c r="B289" s="94"/>
      <c r="C289" s="94"/>
      <c r="D289" s="199"/>
      <c r="E289" s="199">
        <f>'5.Closing Stock &amp; W Capital'!F6</f>
        <v>6037348.2307202946</v>
      </c>
      <c r="F289" s="199">
        <f>'5.Closing Stock &amp; W Capital'!G6</f>
        <v>7395751.5826323619</v>
      </c>
      <c r="G289" s="199">
        <f>'5.Closing Stock &amp; W Capital'!H6</f>
        <v>8874901.8991588335</v>
      </c>
      <c r="H289" s="199">
        <f>'5.Closing Stock &amp; W Capital'!I6</f>
        <v>10483477.868381372</v>
      </c>
      <c r="I289" s="199">
        <f>'5.Closing Stock &amp; W Capital'!J6</f>
        <v>12230724.179778272</v>
      </c>
      <c r="J289" s="199">
        <f>'5.Closing Stock &amp; W Capital'!K6</f>
        <v>14126486.427643903</v>
      </c>
      <c r="K289" s="93"/>
      <c r="L289" s="93"/>
    </row>
    <row r="290" spans="1:20">
      <c r="A290" s="98" t="s">
        <v>342</v>
      </c>
      <c r="B290" s="94"/>
      <c r="C290" s="199"/>
      <c r="D290" s="199">
        <f>'5.Closing Stock &amp; W Capital'!E15</f>
        <v>6037348.2307202946</v>
      </c>
      <c r="E290" s="199">
        <f>'5.Closing Stock &amp; W Capital'!F15</f>
        <v>7395751.5826323619</v>
      </c>
      <c r="F290" s="199">
        <f>'5.Closing Stock &amp; W Capital'!G15</f>
        <v>8874901.8991588335</v>
      </c>
      <c r="G290" s="199">
        <f>'5.Closing Stock &amp; W Capital'!H15</f>
        <v>10483477.868381372</v>
      </c>
      <c r="H290" s="199">
        <f>'5.Closing Stock &amp; W Capital'!I15</f>
        <v>12230724.179778272</v>
      </c>
      <c r="I290" s="199">
        <f>'5.Closing Stock &amp; W Capital'!J15</f>
        <v>14126486.427643903</v>
      </c>
      <c r="J290" s="199">
        <f>'5.Closing Stock &amp; W Capital'!K15</f>
        <v>16181248.089846654</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319</v>
      </c>
      <c r="B292" s="96"/>
      <c r="C292" s="96"/>
      <c r="D292" s="114">
        <f t="shared" ref="D292:J292" si="68">SUM(D233:D289)-D290</f>
        <v>24348560.000167176</v>
      </c>
      <c r="E292" s="114">
        <f t="shared" si="68"/>
        <v>35864334.230925091</v>
      </c>
      <c r="F292" s="114">
        <f t="shared" si="68"/>
        <v>43188134.782878116</v>
      </c>
      <c r="G292" s="114">
        <f t="shared" si="68"/>
        <v>51154654.554449126</v>
      </c>
      <c r="H292" s="114">
        <f t="shared" si="68"/>
        <v>59809855.966220073</v>
      </c>
      <c r="I292" s="114">
        <f t="shared" si="68"/>
        <v>69202690.882781953</v>
      </c>
      <c r="J292" s="114">
        <f t="shared" si="68"/>
        <v>79385284.651084498</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696</v>
      </c>
      <c r="B294" s="229">
        <v>10</v>
      </c>
      <c r="C294" s="247">
        <v>15000</v>
      </c>
      <c r="D294" s="95">
        <f t="shared" ref="D294:J294" si="69">$B$294*$C$294*12*D172</f>
        <v>1800000</v>
      </c>
      <c r="E294" s="95">
        <f t="shared" si="69"/>
        <v>1890000</v>
      </c>
      <c r="F294" s="95">
        <f t="shared" si="69"/>
        <v>1984500</v>
      </c>
      <c r="G294" s="95">
        <f t="shared" si="69"/>
        <v>2083725.0000000002</v>
      </c>
      <c r="H294" s="95">
        <f t="shared" si="69"/>
        <v>2187911.2500000005</v>
      </c>
      <c r="I294" s="95">
        <f t="shared" si="69"/>
        <v>2297306.8125000005</v>
      </c>
      <c r="J294" s="95">
        <f t="shared" si="69"/>
        <v>2412172.1531250007</v>
      </c>
      <c r="K294" s="93"/>
      <c r="L294" s="93"/>
      <c r="M294" s="93"/>
      <c r="N294" s="93"/>
      <c r="O294" s="93"/>
      <c r="P294" s="93"/>
      <c r="Q294" s="93"/>
      <c r="R294" s="93"/>
      <c r="S294" s="93"/>
      <c r="T294" s="93"/>
    </row>
    <row r="295" spans="1:20">
      <c r="A295" s="94"/>
      <c r="B295" s="229"/>
      <c r="C295" s="247"/>
      <c r="D295" s="95"/>
      <c r="E295" s="95"/>
      <c r="F295" s="95"/>
      <c r="G295" s="95"/>
      <c r="H295" s="95"/>
      <c r="I295" s="95"/>
      <c r="J295" s="95"/>
      <c r="K295" s="93"/>
      <c r="L295" s="93"/>
      <c r="M295" s="93"/>
      <c r="N295" s="203"/>
      <c r="O295" s="93"/>
      <c r="P295" s="93"/>
      <c r="Q295" s="93"/>
      <c r="R295" s="93"/>
      <c r="S295" s="93"/>
      <c r="T295" s="93"/>
    </row>
    <row r="296" spans="1:20">
      <c r="A296" s="94"/>
      <c r="B296" s="229"/>
      <c r="C296" s="247"/>
      <c r="D296" s="95"/>
      <c r="E296" s="95"/>
      <c r="F296" s="95"/>
      <c r="G296" s="95"/>
      <c r="H296" s="95"/>
      <c r="I296" s="95"/>
      <c r="J296" s="95"/>
      <c r="K296" s="93"/>
      <c r="L296" s="93"/>
      <c r="M296" s="93"/>
      <c r="N296" s="93"/>
      <c r="O296" s="93"/>
      <c r="P296" s="93"/>
      <c r="Q296" s="93"/>
      <c r="R296" s="93"/>
      <c r="S296" s="93"/>
      <c r="T296" s="93"/>
    </row>
    <row r="297" spans="1:20">
      <c r="A297" s="94"/>
      <c r="B297" s="229"/>
      <c r="C297" s="247"/>
      <c r="D297" s="95"/>
      <c r="E297" s="95"/>
      <c r="F297" s="95"/>
      <c r="G297" s="95"/>
      <c r="H297" s="95"/>
      <c r="I297" s="95"/>
      <c r="J297" s="95"/>
      <c r="K297" s="93"/>
      <c r="L297" s="93"/>
      <c r="M297" s="93"/>
      <c r="N297" s="93"/>
      <c r="O297" s="93"/>
      <c r="P297" s="93"/>
      <c r="Q297" s="93"/>
      <c r="R297" s="93"/>
      <c r="S297" s="93"/>
      <c r="T297" s="93"/>
    </row>
    <row r="298" spans="1:20">
      <c r="A298" s="94"/>
      <c r="B298" s="229"/>
      <c r="C298" s="247"/>
      <c r="D298" s="95"/>
      <c r="E298" s="95"/>
      <c r="F298" s="95"/>
      <c r="G298" s="95"/>
      <c r="H298" s="95"/>
      <c r="I298" s="95"/>
      <c r="J298" s="95"/>
      <c r="K298" s="93"/>
      <c r="L298" s="93"/>
      <c r="M298" s="93"/>
      <c r="N298" s="93"/>
      <c r="O298" s="93"/>
      <c r="P298" s="93"/>
      <c r="Q298" s="93"/>
      <c r="R298" s="93"/>
      <c r="S298" s="93"/>
      <c r="T298" s="93"/>
    </row>
    <row r="299" spans="1:20">
      <c r="A299" s="94"/>
      <c r="B299" s="229"/>
      <c r="C299" s="247"/>
      <c r="D299" s="95"/>
      <c r="E299" s="95"/>
      <c r="F299" s="95"/>
      <c r="G299" s="95"/>
      <c r="H299" s="95"/>
      <c r="I299" s="95"/>
      <c r="J299" s="95"/>
      <c r="K299" s="93"/>
      <c r="L299" s="93"/>
      <c r="M299" s="93"/>
      <c r="N299" s="93"/>
      <c r="O299" s="93"/>
      <c r="P299" s="93"/>
      <c r="Q299" s="93"/>
      <c r="R299" s="93"/>
      <c r="S299" s="93"/>
      <c r="T299" s="93"/>
    </row>
    <row r="300" spans="1:20">
      <c r="A300" s="94"/>
      <c r="B300" s="229"/>
      <c r="C300" s="247"/>
      <c r="D300" s="95"/>
      <c r="E300" s="95"/>
      <c r="F300" s="95"/>
      <c r="G300" s="95"/>
      <c r="H300" s="95"/>
      <c r="I300" s="95"/>
      <c r="J300" s="95"/>
      <c r="K300" s="93"/>
      <c r="L300" s="93"/>
      <c r="M300" s="93"/>
      <c r="N300" s="93"/>
      <c r="O300" s="93"/>
      <c r="P300" s="93"/>
      <c r="Q300" s="93"/>
      <c r="R300" s="93"/>
      <c r="S300" s="93"/>
      <c r="T300" s="93"/>
    </row>
    <row r="301" spans="1:20">
      <c r="A301" s="96" t="s">
        <v>323</v>
      </c>
      <c r="B301" s="234"/>
      <c r="C301" s="234"/>
      <c r="D301" s="114">
        <f t="shared" ref="D301:J301" si="70">SUM(D294:D300)</f>
        <v>1800000</v>
      </c>
      <c r="E301" s="114">
        <f t="shared" si="70"/>
        <v>1890000</v>
      </c>
      <c r="F301" s="114">
        <f t="shared" si="70"/>
        <v>1984500</v>
      </c>
      <c r="G301" s="114">
        <f t="shared" si="70"/>
        <v>2083725.0000000002</v>
      </c>
      <c r="H301" s="114">
        <f t="shared" si="70"/>
        <v>2187911.2500000005</v>
      </c>
      <c r="I301" s="114">
        <f t="shared" si="70"/>
        <v>2297306.8125000005</v>
      </c>
      <c r="J301" s="114">
        <f t="shared" si="70"/>
        <v>2412172.1531250007</v>
      </c>
      <c r="K301" s="93"/>
      <c r="L301" s="93"/>
      <c r="M301" s="93"/>
      <c r="N301" s="203"/>
      <c r="O301" s="93"/>
      <c r="P301" s="93"/>
      <c r="Q301" s="93"/>
      <c r="R301" s="93"/>
      <c r="S301" s="93"/>
      <c r="T301" s="93"/>
    </row>
    <row r="302" spans="1:20">
      <c r="A302" s="96" t="s">
        <v>129</v>
      </c>
      <c r="B302" s="96"/>
      <c r="C302" s="96"/>
      <c r="D302" s="114">
        <f t="shared" ref="D302:J302" si="71">D292+D301</f>
        <v>26148560.000167176</v>
      </c>
      <c r="E302" s="114">
        <f t="shared" si="71"/>
        <v>37754334.230925091</v>
      </c>
      <c r="F302" s="114">
        <f t="shared" si="71"/>
        <v>45172634.782878116</v>
      </c>
      <c r="G302" s="114">
        <f t="shared" si="71"/>
        <v>53238379.554449126</v>
      </c>
      <c r="H302" s="114">
        <f t="shared" si="71"/>
        <v>61997767.216220073</v>
      </c>
      <c r="I302" s="114">
        <f t="shared" si="71"/>
        <v>71499997.695281953</v>
      </c>
      <c r="J302" s="114">
        <f t="shared" si="71"/>
        <v>81797456.804209501</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4186993.3421928249</v>
      </c>
      <c r="E305" s="114">
        <f t="shared" si="72"/>
        <v>7339857.8619479239</v>
      </c>
      <c r="F305" s="114">
        <f t="shared" si="72"/>
        <v>9138724.209781535</v>
      </c>
      <c r="G305" s="114">
        <f t="shared" si="72"/>
        <v>11099127.547743671</v>
      </c>
      <c r="H305" s="114">
        <f t="shared" si="72"/>
        <v>13232724.408977531</v>
      </c>
      <c r="I305" s="114">
        <f t="shared" si="72"/>
        <v>15551933.137465447</v>
      </c>
      <c r="J305" s="114">
        <f t="shared" si="72"/>
        <v>18069980.927779704</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15" t="s">
        <v>422</v>
      </c>
      <c r="B308" s="415"/>
      <c r="C308" s="415"/>
      <c r="D308" s="415"/>
      <c r="E308" s="415"/>
      <c r="F308" s="415"/>
      <c r="G308" s="415"/>
      <c r="H308" s="415"/>
      <c r="I308" s="415"/>
      <c r="J308" s="415"/>
    </row>
    <row r="310" spans="1:20">
      <c r="A310" t="s">
        <v>536</v>
      </c>
    </row>
    <row r="311" spans="1:20">
      <c r="A311">
        <v>1</v>
      </c>
      <c r="B311" t="s">
        <v>547</v>
      </c>
    </row>
    <row r="312" spans="1:20">
      <c r="A312">
        <v>2</v>
      </c>
      <c r="B312" t="s">
        <v>548</v>
      </c>
    </row>
    <row r="313" spans="1:20">
      <c r="A313">
        <v>3</v>
      </c>
      <c r="B313" s="93" t="s">
        <v>588</v>
      </c>
    </row>
  </sheetData>
  <mergeCells count="5">
    <mergeCell ref="A170:J170"/>
    <mergeCell ref="A2:H2"/>
    <mergeCell ref="A308:J308"/>
    <mergeCell ref="F4:H4"/>
    <mergeCell ref="A3:H3"/>
  </mergeCells>
  <pageMargins left="0.70866141732283472" right="0.70866141732283472" top="0.74803149606299213" bottom="0.74803149606299213" header="0.31496062992125984" footer="0.31496062992125984"/>
  <pageSetup paperSize="9" scale="50" orientation="landscape" r:id="rId1"/>
  <rowBreaks count="1" manualBreakCount="1">
    <brk id="65"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190"/>
  <sheetViews>
    <sheetView view="pageBreakPreview" zoomScale="80" zoomScaleSheetLayoutView="80" workbookViewId="0">
      <selection activeCell="B5" sqref="B5"/>
    </sheetView>
  </sheetViews>
  <sheetFormatPr defaultRowHeight="15"/>
  <cols>
    <col min="1" max="1" width="41.7109375" bestFit="1" customWidth="1"/>
    <col min="2" max="2" width="12.42578125" customWidth="1"/>
    <col min="3" max="3" width="12" customWidth="1"/>
    <col min="4" max="4" width="15.140625" customWidth="1"/>
    <col min="5" max="8" width="17.28515625" customWidth="1"/>
    <col min="9" max="10" width="16.85546875" bestFit="1" customWidth="1"/>
  </cols>
  <sheetData>
    <row r="3" spans="1:8" ht="18.75">
      <c r="A3" s="414" t="s">
        <v>686</v>
      </c>
      <c r="B3" s="414"/>
      <c r="C3" s="414"/>
      <c r="D3" s="414"/>
      <c r="E3" s="414"/>
      <c r="F3" s="414"/>
      <c r="G3" s="414"/>
      <c r="H3" s="414"/>
    </row>
    <row r="4" spans="1:8" ht="18.75">
      <c r="A4" s="414" t="s">
        <v>574</v>
      </c>
      <c r="B4" s="414"/>
      <c r="C4" s="414"/>
      <c r="D4" s="414"/>
      <c r="E4" s="414"/>
      <c r="F4" s="414"/>
      <c r="G4" s="414"/>
      <c r="H4" s="414"/>
    </row>
    <row r="5" spans="1:8">
      <c r="A5" s="93" t="s">
        <v>159</v>
      </c>
      <c r="B5" s="240">
        <f>10000/100</f>
        <v>100</v>
      </c>
      <c r="C5" s="93" t="s">
        <v>474</v>
      </c>
      <c r="D5" s="93" t="s">
        <v>711</v>
      </c>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B32/($B$5*$B$6)</f>
        <v>3.7253171249999997</v>
      </c>
      <c r="C12" s="301">
        <f t="shared" ref="C12:H12" si="0">C32/($B$5*$B$6)</f>
        <v>5.5879756875000002</v>
      </c>
      <c r="D12" s="301">
        <f t="shared" si="0"/>
        <v>7.4506342499999993</v>
      </c>
      <c r="E12" s="301">
        <f t="shared" si="0"/>
        <v>9.3132928124999985</v>
      </c>
      <c r="F12" s="301">
        <f t="shared" si="0"/>
        <v>11.175951375</v>
      </c>
      <c r="G12" s="301">
        <f t="shared" si="0"/>
        <v>13.0386099375</v>
      </c>
      <c r="H12" s="301">
        <f t="shared" si="0"/>
        <v>14.901268499999997</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Tur</v>
      </c>
      <c r="B14" s="94">
        <f>'10.Grain Production details'!B68</f>
        <v>98.610000000000014</v>
      </c>
      <c r="C14" s="94">
        <f>'10.Grain Production details'!C68</f>
        <v>147.91500000000005</v>
      </c>
      <c r="D14" s="94">
        <f>'10.Grain Production details'!D68</f>
        <v>197.22000000000003</v>
      </c>
      <c r="E14" s="94">
        <f>'10.Grain Production details'!E68</f>
        <v>246.52500000000003</v>
      </c>
      <c r="F14" s="94">
        <f>'10.Grain Production details'!F68</f>
        <v>295.83000000000004</v>
      </c>
      <c r="G14" s="94">
        <f>'10.Grain Production details'!G68</f>
        <v>345.13500000000005</v>
      </c>
      <c r="H14" s="94">
        <f>'10.Grain Production details'!H68</f>
        <v>394.44000000000005</v>
      </c>
    </row>
    <row r="15" spans="1:8">
      <c r="A15" s="94" t="str">
        <f>'10.Grain Production details'!A69</f>
        <v>Turmeric</v>
      </c>
      <c r="B15" s="94">
        <f>'10.Grain Production details'!B69</f>
        <v>1397.5632000000003</v>
      </c>
      <c r="C15" s="94">
        <f>'10.Grain Production details'!C69</f>
        <v>2096.3448000000003</v>
      </c>
      <c r="D15" s="94">
        <f>'10.Grain Production details'!D69</f>
        <v>2795.1264000000001</v>
      </c>
      <c r="E15" s="94">
        <f>'10.Grain Production details'!E69</f>
        <v>3493.9079999999999</v>
      </c>
      <c r="F15" s="94">
        <f>'10.Grain Production details'!F69</f>
        <v>4192.6895999999997</v>
      </c>
      <c r="G15" s="94">
        <f>'10.Grain Production details'!G69</f>
        <v>4891.4712</v>
      </c>
      <c r="H15" s="94">
        <f>'10.Grain Production details'!H69</f>
        <v>5590.2528000000002</v>
      </c>
    </row>
    <row r="16" spans="1:8">
      <c r="A16" s="94" t="str">
        <f>'10.Grain Production details'!A70</f>
        <v>Moong</v>
      </c>
      <c r="B16" s="94">
        <f>'10.Grain Production details'!B70</f>
        <v>71.93340000000002</v>
      </c>
      <c r="C16" s="94">
        <f>'10.Grain Production details'!C70</f>
        <v>107.90010000000004</v>
      </c>
      <c r="D16" s="94">
        <f>'10.Grain Production details'!D70</f>
        <v>143.86680000000004</v>
      </c>
      <c r="E16" s="94">
        <f>'10.Grain Production details'!E70</f>
        <v>179.83350000000004</v>
      </c>
      <c r="F16" s="94">
        <f>'10.Grain Production details'!F70</f>
        <v>215.80020000000005</v>
      </c>
      <c r="G16" s="94">
        <f>'10.Grain Production details'!G70</f>
        <v>251.76690000000005</v>
      </c>
      <c r="H16" s="94">
        <f>'10.Grain Production details'!H70</f>
        <v>287.73360000000002</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Udid</v>
      </c>
      <c r="B18" s="94">
        <f>'10.Grain Production details'!B72</f>
        <v>82.209600000000023</v>
      </c>
      <c r="C18" s="94">
        <f>'10.Grain Production details'!C72</f>
        <v>123.31440000000005</v>
      </c>
      <c r="D18" s="94">
        <f>'10.Grain Production details'!D72</f>
        <v>164.41920000000005</v>
      </c>
      <c r="E18" s="94">
        <f>'10.Grain Production details'!E72</f>
        <v>205.52400000000006</v>
      </c>
      <c r="F18" s="94">
        <f>'10.Grain Production details'!F72</f>
        <v>246.62880000000007</v>
      </c>
      <c r="G18" s="94">
        <f>'10.Grain Production details'!G72</f>
        <v>287.73360000000008</v>
      </c>
      <c r="H18" s="94">
        <f>'10.Grain Production details'!H72</f>
        <v>328.83840000000009</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100.68600000000001</v>
      </c>
      <c r="C20" s="94">
        <f>'10.Grain Production details'!C74</f>
        <v>151.02900000000002</v>
      </c>
      <c r="D20" s="94">
        <f>'10.Grain Production details'!D74</f>
        <v>201.37200000000001</v>
      </c>
      <c r="E20" s="94">
        <f>'10.Grain Production details'!E74</f>
        <v>251.715</v>
      </c>
      <c r="F20" s="94">
        <f>'10.Grain Production details'!F74</f>
        <v>302.05799999999999</v>
      </c>
      <c r="G20" s="94">
        <f>'10.Grain Production details'!G74</f>
        <v>352.40100000000001</v>
      </c>
      <c r="H20" s="94">
        <f>'10.Grain Production details'!H74</f>
        <v>402.74400000000003</v>
      </c>
    </row>
    <row r="21" spans="1:8">
      <c r="A21" s="94" t="str">
        <f>'10.Grain Production details'!A75</f>
        <v>Channa</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266.24699999999996</v>
      </c>
      <c r="C22" s="94">
        <f>'10.Grain Production details'!C76</f>
        <v>399.37049999999994</v>
      </c>
      <c r="D22" s="94">
        <f>'10.Grain Production details'!D76</f>
        <v>532.49399999999991</v>
      </c>
      <c r="E22" s="94">
        <f>'10.Grain Production details'!E76</f>
        <v>665.61749999999984</v>
      </c>
      <c r="F22" s="94">
        <f>'10.Grain Production details'!F76</f>
        <v>798.74099999999976</v>
      </c>
      <c r="G22" s="94">
        <f>'10.Grain Production details'!G76</f>
        <v>931.86449999999968</v>
      </c>
      <c r="H22" s="94">
        <f>'10.Grain Production details'!H76</f>
        <v>1064.9879999999996</v>
      </c>
    </row>
    <row r="23" spans="1:8">
      <c r="A23" s="94" t="str">
        <f>'10.Grain Production details'!A77</f>
        <v>Channa</v>
      </c>
      <c r="B23" s="94">
        <f>'10.Grain Production details'!B77</f>
        <v>828.32400000000007</v>
      </c>
      <c r="C23" s="94">
        <f>'10.Grain Production details'!C77</f>
        <v>1242.4860000000001</v>
      </c>
      <c r="D23" s="94">
        <f>'10.Grain Production details'!D77</f>
        <v>1656.6480000000001</v>
      </c>
      <c r="E23" s="94">
        <f>'10.Grain Production details'!E77</f>
        <v>2070.81</v>
      </c>
      <c r="F23" s="94">
        <f>'10.Grain Production details'!F77</f>
        <v>2484.9719999999998</v>
      </c>
      <c r="G23" s="94">
        <f>'10.Grain Production details'!G77</f>
        <v>2899.1339999999996</v>
      </c>
      <c r="H23" s="94">
        <f>'10.Grain Production details'!H77</f>
        <v>3313.2959999999998</v>
      </c>
    </row>
    <row r="24" spans="1:8">
      <c r="A24" s="94" t="str">
        <f>'10.Grain Production details'!A78</f>
        <v>Jawar</v>
      </c>
      <c r="B24" s="94">
        <f>'10.Grain Production details'!B78</f>
        <v>96.658560000000008</v>
      </c>
      <c r="C24" s="94">
        <f>'10.Grain Production details'!C78</f>
        <v>144.98784000000003</v>
      </c>
      <c r="D24" s="94">
        <f>'10.Grain Production details'!D78</f>
        <v>193.31712000000005</v>
      </c>
      <c r="E24" s="94">
        <f>'10.Grain Production details'!E78</f>
        <v>241.64640000000006</v>
      </c>
      <c r="F24" s="94">
        <f>'10.Grain Production details'!F78</f>
        <v>289.97568000000007</v>
      </c>
      <c r="G24" s="94">
        <f>'10.Grain Production details'!G78</f>
        <v>338.30496000000005</v>
      </c>
      <c r="H24" s="94">
        <f>'10.Grain Production details'!H78</f>
        <v>386.63424000000003</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t="str">
        <f>'10.Grain Production details'!A81</f>
        <v>Groundnut</v>
      </c>
      <c r="B27" s="94">
        <f>'10.Grain Production details'!B81</f>
        <v>30.828600000000002</v>
      </c>
      <c r="C27" s="94">
        <f>'10.Grain Production details'!C81</f>
        <v>46.242900000000006</v>
      </c>
      <c r="D27" s="94">
        <f>'10.Grain Production details'!D81</f>
        <v>61.657200000000003</v>
      </c>
      <c r="E27" s="94">
        <f>'10.Grain Production details'!E81</f>
        <v>77.0715</v>
      </c>
      <c r="F27" s="94">
        <f>'10.Grain Production details'!F81</f>
        <v>92.485799999999998</v>
      </c>
      <c r="G27" s="94">
        <f>'10.Grain Production details'!G81</f>
        <v>107.90009999999999</v>
      </c>
      <c r="H27" s="94">
        <f>'10.Grain Production details'!H81</f>
        <v>123.31439999999999</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Soybean</v>
      </c>
      <c r="B30" s="94">
        <f>'10.Grain Production details'!B84</f>
        <v>7.1933400000000027</v>
      </c>
      <c r="C30" s="94">
        <f>'10.Grain Production details'!C84</f>
        <v>10.790010000000004</v>
      </c>
      <c r="D30" s="94">
        <f>'10.Grain Production details'!D84</f>
        <v>14.386680000000005</v>
      </c>
      <c r="E30" s="94">
        <f>'10.Grain Production details'!E84</f>
        <v>17.983350000000005</v>
      </c>
      <c r="F30" s="94">
        <f>'10.Grain Production details'!F84</f>
        <v>21.580020000000005</v>
      </c>
      <c r="G30" s="94">
        <f>'10.Grain Production details'!G84</f>
        <v>25.176690000000004</v>
      </c>
      <c r="H30" s="94">
        <f>'10.Grain Production details'!H84</f>
        <v>28.773360000000007</v>
      </c>
    </row>
    <row r="31" spans="1:8">
      <c r="A31" s="94">
        <f>'10.Grain Production details'!A85</f>
        <v>0</v>
      </c>
      <c r="B31" s="94">
        <f>'10.Grain Production details'!B85</f>
        <v>0</v>
      </c>
      <c r="C31" s="94">
        <f>'10.Grain Production details'!C85</f>
        <v>0</v>
      </c>
      <c r="D31" s="94">
        <f>'10.Grain Production details'!D85</f>
        <v>0</v>
      </c>
      <c r="E31" s="94">
        <f>'10.Grain Production details'!E85</f>
        <v>0</v>
      </c>
      <c r="F31" s="94">
        <f>'10.Grain Production details'!F85</f>
        <v>0</v>
      </c>
      <c r="G31" s="94">
        <f>'10.Grain Production details'!G85</f>
        <v>0</v>
      </c>
      <c r="H31" s="94">
        <f>'10.Grain Production details'!H85</f>
        <v>0</v>
      </c>
    </row>
    <row r="32" spans="1:8">
      <c r="A32" s="94" t="s">
        <v>465</v>
      </c>
      <c r="B32" s="94">
        <f>SUM(B13:B31)</f>
        <v>2980.2536999999998</v>
      </c>
      <c r="C32" s="94">
        <f t="shared" ref="C32:H32" si="1">SUM(C13:C31)</f>
        <v>4470.3805499999999</v>
      </c>
      <c r="D32" s="94">
        <f t="shared" si="1"/>
        <v>5960.5073999999995</v>
      </c>
      <c r="E32" s="94">
        <f t="shared" si="1"/>
        <v>7450.6342499999992</v>
      </c>
      <c r="F32" s="94">
        <f t="shared" si="1"/>
        <v>8940.7610999999997</v>
      </c>
      <c r="G32" s="94">
        <f t="shared" si="1"/>
        <v>10430.88795</v>
      </c>
      <c r="H32" s="94">
        <f t="shared" si="1"/>
        <v>11921.014799999997</v>
      </c>
    </row>
    <row r="33" spans="1:8">
      <c r="A33" s="311" t="s">
        <v>163</v>
      </c>
      <c r="B33" s="266">
        <v>0.1</v>
      </c>
      <c r="C33" s="266">
        <f>B33</f>
        <v>0.1</v>
      </c>
      <c r="D33" s="266">
        <f t="shared" ref="D33:H33" si="2">C33</f>
        <v>0.1</v>
      </c>
      <c r="E33" s="266">
        <f t="shared" si="2"/>
        <v>0.1</v>
      </c>
      <c r="F33" s="266">
        <f t="shared" si="2"/>
        <v>0.1</v>
      </c>
      <c r="G33" s="266">
        <f t="shared" si="2"/>
        <v>0.1</v>
      </c>
      <c r="H33" s="266">
        <f t="shared" si="2"/>
        <v>0.1</v>
      </c>
    </row>
    <row r="34" spans="1:8">
      <c r="A34" s="98" t="s">
        <v>475</v>
      </c>
      <c r="B34" s="312">
        <f>1-B33</f>
        <v>0.9</v>
      </c>
      <c r="C34" s="312">
        <f t="shared" ref="C34:H34" si="3">1-C33</f>
        <v>0.9</v>
      </c>
      <c r="D34" s="312">
        <f t="shared" si="3"/>
        <v>0.9</v>
      </c>
      <c r="E34" s="312">
        <f t="shared" si="3"/>
        <v>0.9</v>
      </c>
      <c r="F34" s="312">
        <f t="shared" si="3"/>
        <v>0.9</v>
      </c>
      <c r="G34" s="312">
        <f t="shared" si="3"/>
        <v>0.9</v>
      </c>
      <c r="H34" s="312">
        <f t="shared" si="3"/>
        <v>0.9</v>
      </c>
    </row>
    <row r="35" spans="1:8">
      <c r="A35" s="96" t="s">
        <v>163</v>
      </c>
      <c r="B35" s="250">
        <f>B32*B33</f>
        <v>298.02537000000001</v>
      </c>
      <c r="C35" s="250">
        <f t="shared" ref="C35:H35" si="4">C32*C33</f>
        <v>447.03805499999999</v>
      </c>
      <c r="D35" s="250">
        <f t="shared" si="4"/>
        <v>596.05074000000002</v>
      </c>
      <c r="E35" s="250">
        <f t="shared" si="4"/>
        <v>745.06342499999994</v>
      </c>
      <c r="F35" s="250">
        <f t="shared" si="4"/>
        <v>894.07610999999997</v>
      </c>
      <c r="G35" s="250">
        <f t="shared" si="4"/>
        <v>1043.0887950000001</v>
      </c>
      <c r="H35" s="250">
        <f t="shared" si="4"/>
        <v>1192.1014799999998</v>
      </c>
    </row>
    <row r="36" spans="1:8">
      <c r="A36" s="96" t="s">
        <v>164</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Tur</v>
      </c>
      <c r="B38" s="95">
        <f t="shared" si="6"/>
        <v>88.749000000000009</v>
      </c>
      <c r="C38" s="95">
        <f t="shared" ref="C38:C55" si="8">C14*$C$34</f>
        <v>133.12350000000004</v>
      </c>
      <c r="D38" s="95">
        <f t="shared" ref="D38:D55" si="9">D14*$D$34</f>
        <v>177.49800000000002</v>
      </c>
      <c r="E38" s="95">
        <f t="shared" ref="E38:E55" si="10">E14*$E$34</f>
        <v>221.87250000000003</v>
      </c>
      <c r="F38" s="95">
        <f t="shared" ref="F38:F55" si="11">F14*$F$34</f>
        <v>266.24700000000007</v>
      </c>
      <c r="G38" s="95">
        <f t="shared" ref="G38:G55" si="12">G14*$G$34</f>
        <v>310.62150000000003</v>
      </c>
      <c r="H38" s="95">
        <f t="shared" ref="H38:H55" si="13">H14*$H$34</f>
        <v>354.99600000000004</v>
      </c>
    </row>
    <row r="39" spans="1:8">
      <c r="A39" s="94" t="str">
        <f t="shared" si="5"/>
        <v>Turmeric</v>
      </c>
      <c r="B39" s="95">
        <f t="shared" si="6"/>
        <v>1257.8068800000003</v>
      </c>
      <c r="C39" s="95">
        <f t="shared" si="8"/>
        <v>1886.7103200000004</v>
      </c>
      <c r="D39" s="95">
        <f t="shared" si="9"/>
        <v>2515.6137600000002</v>
      </c>
      <c r="E39" s="95">
        <f t="shared" si="10"/>
        <v>3144.5171999999998</v>
      </c>
      <c r="F39" s="95">
        <f t="shared" si="11"/>
        <v>3773.4206399999998</v>
      </c>
      <c r="G39" s="95">
        <f t="shared" si="12"/>
        <v>4402.3240800000003</v>
      </c>
      <c r="H39" s="95">
        <f t="shared" si="13"/>
        <v>5031.2275200000004</v>
      </c>
    </row>
    <row r="40" spans="1:8">
      <c r="A40" s="94" t="str">
        <f t="shared" si="5"/>
        <v>Moong</v>
      </c>
      <c r="B40" s="95">
        <f t="shared" si="6"/>
        <v>64.740060000000014</v>
      </c>
      <c r="C40" s="95">
        <f t="shared" si="8"/>
        <v>97.110090000000042</v>
      </c>
      <c r="D40" s="95">
        <f t="shared" si="9"/>
        <v>129.48012000000003</v>
      </c>
      <c r="E40" s="95">
        <f t="shared" si="10"/>
        <v>161.85015000000004</v>
      </c>
      <c r="F40" s="95">
        <f t="shared" si="11"/>
        <v>194.22018000000006</v>
      </c>
      <c r="G40" s="95">
        <f t="shared" si="12"/>
        <v>226.59021000000004</v>
      </c>
      <c r="H40" s="95">
        <f t="shared" si="13"/>
        <v>258.96024000000006</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Udid</v>
      </c>
      <c r="B42" s="95">
        <f t="shared" si="6"/>
        <v>73.988640000000018</v>
      </c>
      <c r="C42" s="95">
        <f t="shared" si="8"/>
        <v>110.98296000000005</v>
      </c>
      <c r="D42" s="95">
        <f t="shared" si="9"/>
        <v>147.97728000000004</v>
      </c>
      <c r="E42" s="95">
        <f t="shared" si="10"/>
        <v>184.97160000000005</v>
      </c>
      <c r="F42" s="95">
        <f t="shared" si="11"/>
        <v>221.96592000000007</v>
      </c>
      <c r="G42" s="95">
        <f t="shared" si="12"/>
        <v>258.96024000000006</v>
      </c>
      <c r="H42" s="95">
        <f t="shared" si="13"/>
        <v>295.95456000000007</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90.617400000000004</v>
      </c>
      <c r="C44" s="95">
        <f t="shared" si="8"/>
        <v>135.92610000000002</v>
      </c>
      <c r="D44" s="95">
        <f t="shared" si="9"/>
        <v>181.23480000000001</v>
      </c>
      <c r="E44" s="95">
        <f t="shared" si="10"/>
        <v>226.54349999999999</v>
      </c>
      <c r="F44" s="95">
        <f t="shared" si="11"/>
        <v>271.85219999999998</v>
      </c>
      <c r="G44" s="95">
        <f t="shared" si="12"/>
        <v>317.16090000000003</v>
      </c>
      <c r="H44" s="95">
        <f t="shared" si="13"/>
        <v>362.46960000000001</v>
      </c>
    </row>
    <row r="45" spans="1:8">
      <c r="A45" s="94" t="str">
        <f t="shared" si="5"/>
        <v>Channa</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239.62229999999997</v>
      </c>
      <c r="C46" s="95">
        <f t="shared" si="8"/>
        <v>359.43344999999994</v>
      </c>
      <c r="D46" s="95">
        <f t="shared" si="9"/>
        <v>479.24459999999993</v>
      </c>
      <c r="E46" s="95">
        <f t="shared" si="10"/>
        <v>599.05574999999988</v>
      </c>
      <c r="F46" s="95">
        <f t="shared" si="11"/>
        <v>718.86689999999976</v>
      </c>
      <c r="G46" s="95">
        <f t="shared" si="12"/>
        <v>838.67804999999976</v>
      </c>
      <c r="H46" s="95">
        <f t="shared" si="13"/>
        <v>958.48919999999964</v>
      </c>
    </row>
    <row r="47" spans="1:8">
      <c r="A47" s="94" t="str">
        <f t="shared" si="5"/>
        <v>Channa</v>
      </c>
      <c r="B47" s="95">
        <f t="shared" si="6"/>
        <v>745.49160000000006</v>
      </c>
      <c r="C47" s="95">
        <f t="shared" si="8"/>
        <v>1118.2374000000002</v>
      </c>
      <c r="D47" s="95">
        <f t="shared" si="9"/>
        <v>1490.9832000000001</v>
      </c>
      <c r="E47" s="95">
        <f t="shared" si="10"/>
        <v>1863.729</v>
      </c>
      <c r="F47" s="95">
        <f t="shared" si="11"/>
        <v>2236.4748</v>
      </c>
      <c r="G47" s="95">
        <f t="shared" si="12"/>
        <v>2609.2205999999996</v>
      </c>
      <c r="H47" s="95">
        <f t="shared" si="13"/>
        <v>2981.9663999999998</v>
      </c>
    </row>
    <row r="48" spans="1:8">
      <c r="A48" s="94" t="str">
        <f t="shared" si="5"/>
        <v>Jawar</v>
      </c>
      <c r="B48" s="95">
        <f t="shared" si="6"/>
        <v>86.992704000000003</v>
      </c>
      <c r="C48" s="95">
        <f t="shared" si="8"/>
        <v>130.48905600000003</v>
      </c>
      <c r="D48" s="95">
        <f t="shared" si="9"/>
        <v>173.98540800000004</v>
      </c>
      <c r="E48" s="95">
        <f t="shared" si="10"/>
        <v>217.48176000000007</v>
      </c>
      <c r="F48" s="95">
        <f t="shared" si="11"/>
        <v>260.97811200000007</v>
      </c>
      <c r="G48" s="95">
        <f t="shared" si="12"/>
        <v>304.47446400000007</v>
      </c>
      <c r="H48" s="95">
        <f t="shared" si="13"/>
        <v>347.97081600000001</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t="str">
        <f t="shared" si="5"/>
        <v>Groundnut</v>
      </c>
      <c r="B51" s="95">
        <f t="shared" si="6"/>
        <v>27.745740000000001</v>
      </c>
      <c r="C51" s="95">
        <f t="shared" si="8"/>
        <v>41.618610000000004</v>
      </c>
      <c r="D51" s="95">
        <f t="shared" si="9"/>
        <v>55.491480000000003</v>
      </c>
      <c r="E51" s="95">
        <f t="shared" si="10"/>
        <v>69.364350000000002</v>
      </c>
      <c r="F51" s="95">
        <f t="shared" si="11"/>
        <v>83.237219999999994</v>
      </c>
      <c r="G51" s="95">
        <f t="shared" si="12"/>
        <v>97.11009</v>
      </c>
      <c r="H51" s="95">
        <f t="shared" si="13"/>
        <v>110.98295999999999</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Soybean</v>
      </c>
      <c r="B54" s="95">
        <f t="shared" si="6"/>
        <v>6.4740060000000028</v>
      </c>
      <c r="C54" s="95">
        <f t="shared" si="8"/>
        <v>9.7110090000000042</v>
      </c>
      <c r="D54" s="95">
        <f t="shared" si="9"/>
        <v>12.948012000000006</v>
      </c>
      <c r="E54" s="95">
        <f t="shared" si="10"/>
        <v>16.185015000000003</v>
      </c>
      <c r="F54" s="95">
        <f t="shared" si="11"/>
        <v>19.422018000000005</v>
      </c>
      <c r="G54" s="95">
        <f t="shared" si="12"/>
        <v>22.659021000000003</v>
      </c>
      <c r="H54" s="95">
        <f t="shared" si="13"/>
        <v>25.896024000000008</v>
      </c>
    </row>
    <row r="55" spans="1:8">
      <c r="A55" s="94">
        <f t="shared" si="5"/>
        <v>0</v>
      </c>
      <c r="B55" s="95">
        <f t="shared" si="6"/>
        <v>0</v>
      </c>
      <c r="C55" s="95">
        <f t="shared" si="8"/>
        <v>0</v>
      </c>
      <c r="D55" s="95">
        <f t="shared" si="9"/>
        <v>0</v>
      </c>
      <c r="E55" s="95">
        <f t="shared" si="10"/>
        <v>0</v>
      </c>
      <c r="F55" s="95">
        <f t="shared" si="11"/>
        <v>0</v>
      </c>
      <c r="G55" s="95">
        <f t="shared" si="12"/>
        <v>0</v>
      </c>
      <c r="H55" s="95">
        <f t="shared" si="13"/>
        <v>0</v>
      </c>
    </row>
    <row r="56" spans="1:8">
      <c r="A56" s="94"/>
      <c r="B56" s="94"/>
      <c r="C56" s="94"/>
      <c r="D56" s="94"/>
      <c r="E56" s="94"/>
      <c r="F56" s="94"/>
      <c r="G56" s="94"/>
      <c r="H56" s="94"/>
    </row>
    <row r="57" spans="1:8">
      <c r="A57" s="96" t="s">
        <v>285</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Tur</v>
      </c>
      <c r="B62" s="190"/>
      <c r="C62" s="190"/>
      <c r="D62" s="190"/>
      <c r="E62" s="190"/>
      <c r="F62" s="190"/>
      <c r="G62" s="190"/>
      <c r="H62" s="190"/>
    </row>
    <row r="63" spans="1:8">
      <c r="A63" s="94" t="s">
        <v>466</v>
      </c>
      <c r="B63" s="190">
        <f>B38*80%</f>
        <v>70.999200000000016</v>
      </c>
      <c r="C63" s="190">
        <f t="shared" ref="C63:H63" si="14">C38*80%</f>
        <v>106.49880000000003</v>
      </c>
      <c r="D63" s="190">
        <f t="shared" si="14"/>
        <v>141.99840000000003</v>
      </c>
      <c r="E63" s="190">
        <f t="shared" si="14"/>
        <v>177.49800000000005</v>
      </c>
      <c r="F63" s="190">
        <f t="shared" si="14"/>
        <v>212.99760000000006</v>
      </c>
      <c r="G63" s="190">
        <f t="shared" si="14"/>
        <v>248.49720000000002</v>
      </c>
      <c r="H63" s="190">
        <f t="shared" si="14"/>
        <v>283.99680000000006</v>
      </c>
    </row>
    <row r="64" spans="1:8">
      <c r="A64" s="94" t="s">
        <v>140</v>
      </c>
      <c r="B64" s="190">
        <f>B38*20%</f>
        <v>17.749800000000004</v>
      </c>
      <c r="C64" s="190">
        <f t="shared" ref="C64:H64" si="15">C38*20%</f>
        <v>26.624700000000008</v>
      </c>
      <c r="D64" s="190">
        <f t="shared" si="15"/>
        <v>35.499600000000008</v>
      </c>
      <c r="E64" s="190">
        <f t="shared" si="15"/>
        <v>44.374500000000012</v>
      </c>
      <c r="F64" s="190">
        <f t="shared" si="15"/>
        <v>53.249400000000016</v>
      </c>
      <c r="G64" s="190">
        <f t="shared" si="15"/>
        <v>62.124300000000005</v>
      </c>
      <c r="H64" s="190">
        <f t="shared" si="15"/>
        <v>70.999200000000016</v>
      </c>
    </row>
    <row r="65" spans="1:8">
      <c r="A65" s="94" t="str">
        <f>A39</f>
        <v>Turmeric</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Moong</v>
      </c>
      <c r="B69" s="95"/>
      <c r="C69" s="95"/>
      <c r="D69" s="95"/>
      <c r="E69" s="95"/>
      <c r="F69" s="95"/>
      <c r="G69" s="95"/>
      <c r="H69" s="95"/>
    </row>
    <row r="70" spans="1:8">
      <c r="A70" s="94" t="s">
        <v>466</v>
      </c>
      <c r="B70" s="95">
        <f>B40*80%</f>
        <v>51.792048000000015</v>
      </c>
      <c r="C70" s="95">
        <f t="shared" ref="C70:H70" si="16">C40*80%</f>
        <v>77.688072000000034</v>
      </c>
      <c r="D70" s="95">
        <f t="shared" si="16"/>
        <v>103.58409600000003</v>
      </c>
      <c r="E70" s="95">
        <f t="shared" si="16"/>
        <v>129.48012000000003</v>
      </c>
      <c r="F70" s="95">
        <f t="shared" si="16"/>
        <v>155.37614400000007</v>
      </c>
      <c r="G70" s="95">
        <f t="shared" si="16"/>
        <v>181.27216800000005</v>
      </c>
      <c r="H70" s="95">
        <f t="shared" si="16"/>
        <v>207.16819200000006</v>
      </c>
    </row>
    <row r="71" spans="1:8">
      <c r="A71" s="94" t="s">
        <v>140</v>
      </c>
      <c r="B71" s="95">
        <f>B40*20%</f>
        <v>12.948012000000004</v>
      </c>
      <c r="C71" s="95">
        <f t="shared" ref="C71:H71" si="17">C40*20%</f>
        <v>19.422018000000008</v>
      </c>
      <c r="D71" s="95">
        <f t="shared" si="17"/>
        <v>25.896024000000008</v>
      </c>
      <c r="E71" s="95">
        <f t="shared" si="17"/>
        <v>32.370030000000007</v>
      </c>
      <c r="F71" s="95">
        <f t="shared" si="17"/>
        <v>38.844036000000017</v>
      </c>
      <c r="G71" s="95">
        <f t="shared" si="17"/>
        <v>45.318042000000013</v>
      </c>
      <c r="H71" s="95">
        <f t="shared" si="17"/>
        <v>51.792048000000015</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Udid</v>
      </c>
      <c r="B77" s="95"/>
      <c r="C77" s="95"/>
      <c r="D77" s="95"/>
      <c r="E77" s="95"/>
      <c r="F77" s="95"/>
      <c r="G77" s="95"/>
      <c r="H77" s="95"/>
    </row>
    <row r="78" spans="1:8">
      <c r="A78" s="94" t="s">
        <v>466</v>
      </c>
      <c r="B78" s="95">
        <f t="shared" ref="B78:H78" si="18">B42*80%</f>
        <v>59.190912000000019</v>
      </c>
      <c r="C78" s="95">
        <f t="shared" si="18"/>
        <v>88.786368000000039</v>
      </c>
      <c r="D78" s="95">
        <f t="shared" si="18"/>
        <v>118.38182400000004</v>
      </c>
      <c r="E78" s="95">
        <f t="shared" si="18"/>
        <v>147.97728000000004</v>
      </c>
      <c r="F78" s="95">
        <f t="shared" si="18"/>
        <v>177.57273600000008</v>
      </c>
      <c r="G78" s="95">
        <f t="shared" si="18"/>
        <v>207.16819200000006</v>
      </c>
      <c r="H78" s="95">
        <f t="shared" si="18"/>
        <v>236.76364800000007</v>
      </c>
    </row>
    <row r="79" spans="1:8">
      <c r="A79" s="94" t="s">
        <v>140</v>
      </c>
      <c r="B79" s="95">
        <f t="shared" ref="B79:H79" si="19">B42*20%</f>
        <v>14.797728000000005</v>
      </c>
      <c r="C79" s="95">
        <f t="shared" si="19"/>
        <v>22.19659200000001</v>
      </c>
      <c r="D79" s="95">
        <f t="shared" si="19"/>
        <v>29.595456000000009</v>
      </c>
      <c r="E79" s="95">
        <f t="shared" si="19"/>
        <v>36.994320000000009</v>
      </c>
      <c r="F79" s="95">
        <f t="shared" si="19"/>
        <v>44.393184000000019</v>
      </c>
      <c r="G79" s="95">
        <f t="shared" si="19"/>
        <v>51.792048000000015</v>
      </c>
      <c r="H79" s="95">
        <f t="shared" si="19"/>
        <v>59.190912000000019</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Channa</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Channa</v>
      </c>
      <c r="B94" s="95"/>
      <c r="C94" s="95"/>
      <c r="D94" s="95"/>
      <c r="E94" s="95"/>
      <c r="F94" s="95"/>
      <c r="G94" s="95"/>
      <c r="H94" s="95"/>
    </row>
    <row r="95" spans="1:8">
      <c r="A95" s="94" t="s">
        <v>466</v>
      </c>
      <c r="B95" s="95">
        <f t="shared" ref="B95:H95" si="20">B47*80%</f>
        <v>596.39328000000012</v>
      </c>
      <c r="C95" s="95">
        <f t="shared" si="20"/>
        <v>894.58992000000023</v>
      </c>
      <c r="D95" s="95">
        <f t="shared" si="20"/>
        <v>1192.7865600000002</v>
      </c>
      <c r="E95" s="95">
        <f t="shared" si="20"/>
        <v>1490.9832000000001</v>
      </c>
      <c r="F95" s="95">
        <f t="shared" si="20"/>
        <v>1789.17984</v>
      </c>
      <c r="G95" s="95">
        <f t="shared" si="20"/>
        <v>2087.3764799999999</v>
      </c>
      <c r="H95" s="95">
        <f t="shared" si="20"/>
        <v>2385.57312</v>
      </c>
    </row>
    <row r="96" spans="1:8">
      <c r="A96" s="94" t="s">
        <v>140</v>
      </c>
      <c r="B96" s="95">
        <f t="shared" ref="B96:H96" si="21">B47*20%</f>
        <v>149.09832000000003</v>
      </c>
      <c r="C96" s="95">
        <f t="shared" si="21"/>
        <v>223.64748000000006</v>
      </c>
      <c r="D96" s="95">
        <f t="shared" si="21"/>
        <v>298.19664000000006</v>
      </c>
      <c r="E96" s="95">
        <f t="shared" si="21"/>
        <v>372.74580000000003</v>
      </c>
      <c r="F96" s="95">
        <f t="shared" si="21"/>
        <v>447.29496</v>
      </c>
      <c r="G96" s="95">
        <f t="shared" si="21"/>
        <v>521.84411999999998</v>
      </c>
      <c r="H96" s="95">
        <f t="shared" si="21"/>
        <v>596.39328</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A51</f>
        <v>Groundnut</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Soybean</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f>A55</f>
        <v>0</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94"/>
      <c r="C122" s="294"/>
      <c r="D122" s="294"/>
      <c r="E122" s="294"/>
      <c r="F122" s="294"/>
      <c r="G122" s="294"/>
      <c r="H122" s="294"/>
    </row>
    <row r="123" spans="1:8">
      <c r="A123" s="185"/>
      <c r="B123" s="294"/>
      <c r="C123" s="294"/>
      <c r="D123" s="294"/>
      <c r="E123" s="294"/>
      <c r="F123" s="294"/>
      <c r="G123" s="294"/>
      <c r="H123" s="294"/>
    </row>
    <row r="124" spans="1:8">
      <c r="A124" s="186" t="s">
        <v>452</v>
      </c>
      <c r="B124">
        <v>50</v>
      </c>
    </row>
    <row r="131" spans="1:10" ht="18.75">
      <c r="A131" s="414" t="s">
        <v>687</v>
      </c>
      <c r="B131" s="414"/>
      <c r="C131" s="414"/>
      <c r="D131" s="414"/>
      <c r="E131" s="414"/>
      <c r="F131" s="414"/>
      <c r="G131" s="414"/>
      <c r="H131" s="414"/>
      <c r="I131" s="414"/>
      <c r="J131" s="414"/>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132</v>
      </c>
      <c r="C135" s="147" t="s">
        <v>151</v>
      </c>
      <c r="D135" s="119" t="s">
        <v>2</v>
      </c>
      <c r="E135" s="119" t="s">
        <v>3</v>
      </c>
      <c r="F135" s="119" t="s">
        <v>4</v>
      </c>
      <c r="G135" s="119" t="s">
        <v>5</v>
      </c>
      <c r="H135" s="119" t="s">
        <v>6</v>
      </c>
      <c r="I135" s="119" t="s">
        <v>167</v>
      </c>
      <c r="J135" s="119" t="s">
        <v>166</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tr">
        <f>+'12.Facility 1 - Trading'!A178</f>
        <v>Soybean</v>
      </c>
      <c r="B139" s="229" t="s">
        <v>695</v>
      </c>
      <c r="C139" s="229">
        <v>65</v>
      </c>
      <c r="D139" s="95">
        <f>(((B95*100)*(1-'5.Closing Stock &amp; W Capital'!$D$16))/$B$124)*$C$139*D133</f>
        <v>62024.901120000017</v>
      </c>
      <c r="E139" s="95">
        <f>E133*((((C95*100)*(1-'5.Closing Stock &amp; W Capital'!$D$16))+((B95*100)*'5.Closing Stock &amp; W Capital'!$D$16))/$B$124)*$C$139</f>
        <v>113970.75580800005</v>
      </c>
      <c r="F139" s="95">
        <f>F133*((((D95*100)*(1-'5.Closing Stock &amp; W Capital'!$D$16))+((C95*100)*'5.Closing Stock &amp; W Capital'!$D$16))/$B$124)*$C$139</f>
        <v>162408.32702640005</v>
      </c>
      <c r="G139" s="95">
        <f>G133*((((E95*100)*(1-'5.Closing Stock &amp; W Capital'!$D$16))+((D95*100)*'5.Closing Stock &amp; W Capital'!$D$16))/$B$124)*$C$139</f>
        <v>215404.72847712008</v>
      </c>
      <c r="H139" s="95">
        <f>H133*((((F95*100)*(1-'5.Closing Stock &amp; W Capital'!$D$16))+((E95*100)*'5.Closing Stock &amp; W Capital'!$D$16))/$B$124)*$C$139</f>
        <v>273294.74925534602</v>
      </c>
      <c r="I139" s="95">
        <f>I133*((((G95*100)*(1-'5.Closing Stock &amp; W Capital'!$D$16))+((F95*100)*'5.Closing Stock &amp; W Capital'!$D$16))/$B$124)*$C$139</f>
        <v>336435.26029020193</v>
      </c>
      <c r="J139" s="95">
        <f>J133*((((H95*100)*(1-'5.Closing Stock &amp; W Capital'!$D$16))+((G95*100)*'5.Closing Stock &amp; W Capital'!$D$16))/$B$124)*$C$139</f>
        <v>405206.58555540495</v>
      </c>
    </row>
    <row r="140" spans="1:10">
      <c r="A140" s="94" t="str">
        <f>+'12.Facility 1 - Trading'!A179</f>
        <v>Tur</v>
      </c>
      <c r="B140" s="229" t="s">
        <v>695</v>
      </c>
      <c r="C140" s="229">
        <v>65</v>
      </c>
      <c r="D140" s="95">
        <f>(((B63*100)*(1-'5.Closing Stock &amp; W Capital'!$D$16))/B124)*$C$140*D133</f>
        <v>7383.9168000000018</v>
      </c>
      <c r="E140" s="95">
        <f>((((C63*100)*(1-'5.Closing Stock &amp; W Capital'!$D$16))+((B63*100)*'5.Closing Stock &amp; W Capital'!$D$16))/$B$124)*$C$140*E133</f>
        <v>13567.947120000003</v>
      </c>
      <c r="F140" s="95">
        <f>((((D63*100)*(1-'5.Closing Stock &amp; W Capital'!$D$16))+((C63*100)*'5.Closing Stock &amp; W Capital'!$D$16))/$B$124)*$C$140*F133</f>
        <v>19334.324646000005</v>
      </c>
      <c r="G140" s="95">
        <f>((((E63*100)*(1-'5.Closing Stock &amp; W Capital'!$D$16))+((D63*100)*'5.Closing Stock &amp; W Capital'!$D$16))/$B$124)*$C$140*G133</f>
        <v>25643.420056800012</v>
      </c>
      <c r="H140" s="95">
        <f>((((F63*100)*(1-'5.Closing Stock &amp; W Capital'!$D$16))+((E63*100)*'5.Closing Stock &amp; W Capital'!$D$16))/$B$124)*$C$140*H133</f>
        <v>32535.089197065012</v>
      </c>
      <c r="I140" s="95">
        <f>((((G63*100)*(1-'5.Closing Stock &amp; W Capital'!$D$16))+((F63*100)*'5.Closing Stock &amp; W Capital'!$D$16))/$B$124)*$C$140*I133</f>
        <v>40051.816701214513</v>
      </c>
      <c r="J140" s="95">
        <f>((((H63*100)*(1-'5.Closing Stock &amp; W Capital'!$D$16))+((G63*100)*'5.Closing Stock &amp; W Capital'!$D$16))/$B$124)*$C$140*J133</f>
        <v>48238.879232786312</v>
      </c>
    </row>
    <row r="141" spans="1:10">
      <c r="A141" s="94" t="str">
        <f>+'12.Facility 1 - Trading'!A180</f>
        <v>Turmeric</v>
      </c>
      <c r="B141" s="229" t="s">
        <v>695</v>
      </c>
      <c r="C141" s="229">
        <v>100</v>
      </c>
      <c r="D141" s="95">
        <f>(((B78*100)*(1-'5.Closing Stock &amp; W Capital'!D16))/$B$124)*$C$141*D133</f>
        <v>9470.5459200000023</v>
      </c>
      <c r="E141" s="95">
        <f>((((C78*100)*(1-'5.Closing Stock &amp; W Capital'!$D$16))+((B78*100)*'5.Closing Stock &amp; W Capital'!$D$16))/$B$124)*$C$141*E133</f>
        <v>17402.128128000008</v>
      </c>
      <c r="F141" s="95">
        <f>((((D78*100)*(1-'5.Closing Stock &amp; W Capital'!$D$16))+((C78*100)*'5.Closing Stock &amp; W Capital'!$D$16))/$B$124)*$C$141*F133</f>
        <v>24798.032582400007</v>
      </c>
      <c r="G141" s="95">
        <f>((((E78*100)*(1-'5.Closing Stock &amp; W Capital'!$D$16))+((D78*100)*'5.Closing Stock &amp; W Capital'!$D$16))/$B$124)*$C$141*G133</f>
        <v>32890.022161920017</v>
      </c>
      <c r="H141" s="95">
        <f>((((F78*100)*(1-'5.Closing Stock &amp; W Capital'!$D$16))+((E78*100)*'5.Closing Stock &amp; W Capital'!$D$16))/$B$124)*$C$141*H133</f>
        <v>41729.215617936025</v>
      </c>
      <c r="I141" s="95">
        <f>((((G78*100)*(1-'5.Closing Stock &amp; W Capital'!$D$16))+((F78*100)*'5.Closing Stock &amp; W Capital'!$D$16))/$B$124)*$C$141*I133</f>
        <v>51370.103364148825</v>
      </c>
      <c r="J141" s="95">
        <f>((((H78*100)*(1-'5.Closing Stock &amp; W Capital'!$D$16))+((G78*100)*'5.Closing Stock &amp; W Capital'!$D$16))/$B$124)*$C$141*J133</f>
        <v>61870.756845938078</v>
      </c>
    </row>
    <row r="142" spans="1:10">
      <c r="A142" s="94" t="str">
        <f>+'12.Facility 1 - Trading'!A181</f>
        <v>Moong</v>
      </c>
      <c r="B142" s="229" t="s">
        <v>695</v>
      </c>
      <c r="C142" s="229">
        <v>65</v>
      </c>
      <c r="D142" s="95">
        <f>(((B70*100)*(1-'5.Closing Stock &amp; W Capital'!D16))/B124)*$C$142*D133</f>
        <v>5386.3729920000005</v>
      </c>
      <c r="E142" s="95">
        <f>((((C70*100)*(1-'5.Closing Stock &amp; W Capital'!$D$16))+((B70*100)*'5.Closing Stock &amp; W Capital'!$D$16))/$B$124)*$C$142*E133</f>
        <v>9897.4603728000038</v>
      </c>
      <c r="F142" s="95">
        <f>((((D70*100)*(1-'5.Closing Stock &amp; W Capital'!$D$16))+((C70*100)*'5.Closing Stock &amp; W Capital'!$D$16))/$B$124)*$C$142*F133</f>
        <v>14103.881031240004</v>
      </c>
      <c r="G142" s="95">
        <f>((((E70*100)*(1-'5.Closing Stock &amp; W Capital'!$D$16))+((D70*100)*'5.Closing Stock &amp; W Capital'!$D$16))/$B$124)*$C$142*G133</f>
        <v>18706.200104592008</v>
      </c>
      <c r="H142" s="95">
        <f>((((F70*100)*(1-'5.Closing Stock &amp; W Capital'!$D$16))+((E70*100)*'5.Closing Stock &amp; W Capital'!$D$16))/$B$124)*$C$142*H133</f>
        <v>23733.491382701111</v>
      </c>
      <c r="I142" s="95">
        <f>((((G70*100)*(1-'5.Closing Stock &amp; W Capital'!$D$16))+((F70*100)*'5.Closing Stock &amp; W Capital'!$D$16))/$B$124)*$C$142*I133</f>
        <v>29216.746288359645</v>
      </c>
      <c r="J142" s="95">
        <f>((((H70*100)*(1-'5.Closing Stock &amp; W Capital'!$D$16))+((G70*100)*'5.Closing Stock &amp; W Capital'!$D$16))/$B$124)*$C$142*J133</f>
        <v>35188.99295612728</v>
      </c>
    </row>
    <row r="143" spans="1:10">
      <c r="A143" s="94"/>
      <c r="B143" s="229"/>
      <c r="C143" s="229"/>
      <c r="D143" s="95"/>
      <c r="E143" s="95"/>
      <c r="F143" s="95"/>
      <c r="G143" s="95"/>
      <c r="H143" s="95"/>
      <c r="I143" s="95"/>
      <c r="J143" s="95"/>
    </row>
    <row r="144" spans="1:10">
      <c r="A144" s="94"/>
      <c r="B144" s="229"/>
      <c r="C144" s="229"/>
      <c r="D144" s="95"/>
      <c r="E144" s="95"/>
      <c r="F144" s="95"/>
      <c r="G144" s="95"/>
      <c r="H144" s="95"/>
      <c r="I144" s="95"/>
      <c r="J144" s="95"/>
    </row>
    <row r="145" spans="1:11">
      <c r="A145" s="94"/>
      <c r="B145" s="229"/>
      <c r="C145" s="229"/>
      <c r="D145" s="95"/>
      <c r="E145" s="95"/>
      <c r="F145" s="95"/>
      <c r="G145" s="95"/>
      <c r="H145" s="95"/>
      <c r="I145" s="95"/>
      <c r="J145" s="95"/>
    </row>
    <row r="146" spans="1:11">
      <c r="A146" s="94"/>
      <c r="B146" s="94"/>
      <c r="C146" s="94"/>
      <c r="D146" s="95"/>
      <c r="E146" s="95"/>
      <c r="F146" s="95"/>
      <c r="G146" s="95"/>
      <c r="H146" s="95"/>
      <c r="I146" s="95"/>
      <c r="J146" s="95"/>
    </row>
    <row r="147" spans="1:11">
      <c r="A147" s="96" t="s">
        <v>140</v>
      </c>
      <c r="B147" s="234" t="s">
        <v>360</v>
      </c>
      <c r="C147" s="234">
        <v>10</v>
      </c>
      <c r="D147" s="95">
        <f t="shared" ref="D147:J147" si="23">((B63+B95+B78+B70)*100)*$C$147*D133</f>
        <v>778375.44000000006</v>
      </c>
      <c r="E147" s="95">
        <f t="shared" si="23"/>
        <v>1225941.3180000002</v>
      </c>
      <c r="F147" s="95">
        <f t="shared" si="23"/>
        <v>1716317.8452000001</v>
      </c>
      <c r="G147" s="95">
        <f t="shared" si="23"/>
        <v>2252667.1718250006</v>
      </c>
      <c r="H147" s="95">
        <f t="shared" si="23"/>
        <v>2838360.6364995008</v>
      </c>
      <c r="I147" s="95">
        <f t="shared" si="23"/>
        <v>3476991.7797118886</v>
      </c>
      <c r="J147" s="95">
        <f t="shared" si="23"/>
        <v>4172390.1356542665</v>
      </c>
    </row>
    <row r="148" spans="1:11">
      <c r="A148" s="94"/>
      <c r="B148" s="229"/>
      <c r="C148" s="229"/>
      <c r="D148" s="95"/>
      <c r="E148" s="95"/>
      <c r="F148" s="95"/>
      <c r="G148" s="95"/>
      <c r="H148" s="95"/>
      <c r="I148" s="95"/>
      <c r="J148" s="95"/>
      <c r="K148" s="63">
        <f>[2]Output!T58*70*K133</f>
        <v>0</v>
      </c>
    </row>
    <row r="149" spans="1:11">
      <c r="A149" s="96" t="s">
        <v>294</v>
      </c>
      <c r="B149" s="234" t="s">
        <v>360</v>
      </c>
      <c r="C149" s="229">
        <v>5</v>
      </c>
      <c r="D149" s="95">
        <f t="shared" ref="D149:J149" si="24">(B35*100)*$C$149*D133</f>
        <v>149012.685</v>
      </c>
      <c r="E149" s="95">
        <f t="shared" si="24"/>
        <v>234694.97887500003</v>
      </c>
      <c r="F149" s="95">
        <f t="shared" si="24"/>
        <v>328572.97042500001</v>
      </c>
      <c r="G149" s="95">
        <f t="shared" si="24"/>
        <v>431252.02368281258</v>
      </c>
      <c r="H149" s="95">
        <f t="shared" si="24"/>
        <v>543377.54984034388</v>
      </c>
      <c r="I149" s="95">
        <f t="shared" si="24"/>
        <v>665637.49855442136</v>
      </c>
      <c r="J149" s="95">
        <f t="shared" si="24"/>
        <v>798764.99826530553</v>
      </c>
    </row>
    <row r="150" spans="1:11">
      <c r="A150" s="94"/>
      <c r="B150" s="94"/>
      <c r="C150" s="94"/>
      <c r="D150" s="95"/>
      <c r="E150" s="95"/>
      <c r="F150" s="95"/>
      <c r="G150" s="95"/>
      <c r="H150" s="95"/>
      <c r="I150" s="95"/>
      <c r="J150" s="95"/>
    </row>
    <row r="151" spans="1:11">
      <c r="A151" s="96" t="s">
        <v>127</v>
      </c>
      <c r="B151" s="96"/>
      <c r="C151" s="96"/>
      <c r="D151" s="114">
        <f>SUM(D139:D149)</f>
        <v>1011653.8618320001</v>
      </c>
      <c r="E151" s="114">
        <f t="shared" ref="E151:J151" si="25">SUM(E139:E149)</f>
        <v>1615474.5883038002</v>
      </c>
      <c r="F151" s="114">
        <f t="shared" si="25"/>
        <v>2265535.3809110401</v>
      </c>
      <c r="G151" s="114">
        <f t="shared" si="25"/>
        <v>2976563.5663082455</v>
      </c>
      <c r="H151" s="114">
        <f t="shared" si="25"/>
        <v>3753030.7317928933</v>
      </c>
      <c r="I151" s="114">
        <f t="shared" si="25"/>
        <v>4599703.2049102345</v>
      </c>
      <c r="J151" s="114">
        <f t="shared" si="25"/>
        <v>5521660.3485098286</v>
      </c>
    </row>
    <row r="152" spans="1:11">
      <c r="A152" s="94"/>
      <c r="B152" s="94"/>
      <c r="C152" s="94"/>
      <c r="D152" s="95"/>
      <c r="E152" s="95"/>
      <c r="F152" s="95"/>
      <c r="G152" s="95"/>
      <c r="H152" s="95"/>
      <c r="I152" s="95"/>
      <c r="J152" s="95"/>
    </row>
    <row r="153" spans="1:11">
      <c r="A153" s="96" t="s">
        <v>141</v>
      </c>
      <c r="B153" s="96"/>
      <c r="C153" s="96"/>
      <c r="D153" s="95"/>
      <c r="E153" s="95"/>
      <c r="F153" s="95"/>
      <c r="G153" s="95"/>
      <c r="H153" s="95"/>
      <c r="I153" s="95"/>
      <c r="J153" s="95"/>
    </row>
    <row r="154" spans="1:11">
      <c r="A154" s="96" t="s">
        <v>312</v>
      </c>
      <c r="B154" s="96"/>
      <c r="C154" s="94"/>
      <c r="D154" s="95"/>
      <c r="E154" s="95"/>
      <c r="F154" s="95"/>
      <c r="G154" s="95"/>
      <c r="H154" s="95"/>
      <c r="I154" s="95"/>
      <c r="J154" s="95"/>
    </row>
    <row r="155" spans="1:11">
      <c r="A155" s="98" t="str">
        <f>+A139</f>
        <v>Soybean</v>
      </c>
      <c r="B155" s="229" t="s">
        <v>695</v>
      </c>
      <c r="C155" s="247">
        <v>20</v>
      </c>
      <c r="D155" s="95">
        <f t="shared" ref="D155:J155" si="26">(B47)*$C$155*D133</f>
        <v>14909.832000000002</v>
      </c>
      <c r="E155" s="95">
        <f t="shared" si="26"/>
        <v>23482.985400000005</v>
      </c>
      <c r="F155" s="95">
        <f t="shared" si="26"/>
        <v>32876.179560000004</v>
      </c>
      <c r="G155" s="95">
        <f t="shared" si="26"/>
        <v>43149.985672500006</v>
      </c>
      <c r="H155" s="95">
        <f t="shared" si="26"/>
        <v>54368.98194735001</v>
      </c>
      <c r="I155" s="95">
        <f t="shared" si="26"/>
        <v>66602.002885503767</v>
      </c>
      <c r="J155" s="95">
        <f t="shared" si="26"/>
        <v>79922.403462604518</v>
      </c>
    </row>
    <row r="156" spans="1:11">
      <c r="A156" s="94" t="str">
        <f>+A140</f>
        <v>Tur</v>
      </c>
      <c r="B156" s="229" t="s">
        <v>695</v>
      </c>
      <c r="C156" s="247">
        <v>20</v>
      </c>
      <c r="D156" s="95">
        <f t="shared" ref="D156:J156" si="27">(B38)*$C$156*D133</f>
        <v>1774.9800000000002</v>
      </c>
      <c r="E156" s="95">
        <f t="shared" si="27"/>
        <v>2795.5935000000009</v>
      </c>
      <c r="F156" s="95">
        <f t="shared" si="27"/>
        <v>3913.8309000000008</v>
      </c>
      <c r="G156" s="95">
        <f t="shared" si="27"/>
        <v>5136.9030562500011</v>
      </c>
      <c r="H156" s="95">
        <f t="shared" si="27"/>
        <v>6472.4978508750028</v>
      </c>
      <c r="I156" s="95">
        <f t="shared" si="27"/>
        <v>7928.8098673218774</v>
      </c>
      <c r="J156" s="95">
        <f t="shared" si="27"/>
        <v>9514.5718407862551</v>
      </c>
    </row>
    <row r="157" spans="1:11">
      <c r="A157" s="94" t="str">
        <f>+A141</f>
        <v>Turmeric</v>
      </c>
      <c r="B157" s="229" t="s">
        <v>695</v>
      </c>
      <c r="C157" s="247">
        <v>35</v>
      </c>
      <c r="D157" s="95">
        <f t="shared" ref="D157:J157" si="28">(B42)*$C$157*D133</f>
        <v>2589.6024000000007</v>
      </c>
      <c r="E157" s="95">
        <f t="shared" si="28"/>
        <v>4078.6237800000017</v>
      </c>
      <c r="F157" s="95">
        <f t="shared" si="28"/>
        <v>5710.0732920000019</v>
      </c>
      <c r="G157" s="95">
        <f t="shared" si="28"/>
        <v>7494.4711957500031</v>
      </c>
      <c r="H157" s="95">
        <f t="shared" si="28"/>
        <v>9443.0337066450047</v>
      </c>
      <c r="I157" s="95">
        <f t="shared" si="28"/>
        <v>11567.716290640132</v>
      </c>
      <c r="J157" s="95">
        <f t="shared" si="28"/>
        <v>13881.259548768157</v>
      </c>
    </row>
    <row r="158" spans="1:11">
      <c r="A158" s="94" t="str">
        <f>+A142</f>
        <v>Moong</v>
      </c>
      <c r="B158" s="229" t="s">
        <v>695</v>
      </c>
      <c r="C158" s="247">
        <v>30</v>
      </c>
      <c r="D158" s="95">
        <f t="shared" ref="D158:J158" si="29">(B40)*$C$158*D133</f>
        <v>1942.2018000000005</v>
      </c>
      <c r="E158" s="95">
        <f t="shared" si="29"/>
        <v>3058.9678350000013</v>
      </c>
      <c r="F158" s="95">
        <f t="shared" si="29"/>
        <v>4282.5549690000016</v>
      </c>
      <c r="G158" s="95">
        <f t="shared" si="29"/>
        <v>5620.8533968125021</v>
      </c>
      <c r="H158" s="95">
        <f t="shared" si="29"/>
        <v>7082.2752799837526</v>
      </c>
      <c r="I158" s="95">
        <f t="shared" si="29"/>
        <v>8675.7872179800979</v>
      </c>
      <c r="J158" s="95">
        <f t="shared" si="29"/>
        <v>10410.944661576119</v>
      </c>
    </row>
    <row r="159" spans="1:11">
      <c r="A159" s="94"/>
      <c r="B159" s="229">
        <v>0</v>
      </c>
      <c r="C159" s="229">
        <v>0</v>
      </c>
      <c r="D159" s="95">
        <f t="shared" ref="D159:J159" si="30">(B32/10)*$B$159*$C$159*D133</f>
        <v>0</v>
      </c>
      <c r="E159" s="95">
        <f t="shared" si="30"/>
        <v>0</v>
      </c>
      <c r="F159" s="95">
        <f t="shared" si="30"/>
        <v>0</v>
      </c>
      <c r="G159" s="95">
        <f t="shared" si="30"/>
        <v>0</v>
      </c>
      <c r="H159" s="95">
        <f t="shared" si="30"/>
        <v>0</v>
      </c>
      <c r="I159" s="95">
        <f t="shared" si="30"/>
        <v>0</v>
      </c>
      <c r="J159" s="95">
        <f t="shared" si="30"/>
        <v>0</v>
      </c>
    </row>
    <row r="160" spans="1:11">
      <c r="A160" s="94" t="s">
        <v>318</v>
      </c>
      <c r="B160" s="229">
        <v>5</v>
      </c>
      <c r="C160" s="229">
        <v>3500</v>
      </c>
      <c r="D160" s="95">
        <f t="shared" ref="D160:J160" si="31">B12*$B$160*$C$160*D133</f>
        <v>65193.049687499988</v>
      </c>
      <c r="E160" s="95">
        <f t="shared" si="31"/>
        <v>102679.0532578125</v>
      </c>
      <c r="F160" s="95">
        <f t="shared" si="31"/>
        <v>143750.67456093748</v>
      </c>
      <c r="G160" s="95">
        <f t="shared" si="31"/>
        <v>188672.76036123044</v>
      </c>
      <c r="H160" s="95">
        <f t="shared" si="31"/>
        <v>237727.67805515041</v>
      </c>
      <c r="I160" s="95">
        <f t="shared" si="31"/>
        <v>291216.40561755933</v>
      </c>
      <c r="J160" s="95">
        <f t="shared" si="31"/>
        <v>349459.68674107111</v>
      </c>
    </row>
    <row r="161" spans="1:10">
      <c r="A161" s="94" t="s">
        <v>143</v>
      </c>
      <c r="B161" s="94">
        <f>'2.Capex Details'!H52*0.746*8</f>
        <v>0</v>
      </c>
      <c r="C161" s="229">
        <v>8</v>
      </c>
      <c r="D161" s="95">
        <f t="shared" ref="D161:J161" si="32">$B$161*$C$161*B12*D133</f>
        <v>0</v>
      </c>
      <c r="E161" s="95">
        <f t="shared" si="32"/>
        <v>0</v>
      </c>
      <c r="F161" s="95">
        <f t="shared" si="32"/>
        <v>0</v>
      </c>
      <c r="G161" s="95">
        <f t="shared" si="32"/>
        <v>0</v>
      </c>
      <c r="H161" s="95">
        <f t="shared" si="32"/>
        <v>0</v>
      </c>
      <c r="I161" s="95">
        <f t="shared" si="32"/>
        <v>0</v>
      </c>
      <c r="J161" s="95">
        <f t="shared" si="32"/>
        <v>0</v>
      </c>
    </row>
    <row r="162" spans="1:10">
      <c r="A162" s="94" t="s">
        <v>295</v>
      </c>
      <c r="B162" s="94">
        <v>5</v>
      </c>
      <c r="C162" s="229">
        <v>10</v>
      </c>
      <c r="D162" s="95">
        <f t="shared" ref="D162:J162" si="33">((B35*100)/50)*$C$162*D133</f>
        <v>5960.5074000000004</v>
      </c>
      <c r="E162" s="95">
        <f t="shared" si="33"/>
        <v>9387.7991550000024</v>
      </c>
      <c r="F162" s="95">
        <f t="shared" si="33"/>
        <v>13142.918817000002</v>
      </c>
      <c r="G162" s="95">
        <f t="shared" si="33"/>
        <v>17250.080947312501</v>
      </c>
      <c r="H162" s="95">
        <f t="shared" si="33"/>
        <v>21735.101993613756</v>
      </c>
      <c r="I162" s="95">
        <f t="shared" si="33"/>
        <v>26625.499942176852</v>
      </c>
      <c r="J162" s="95">
        <f t="shared" si="33"/>
        <v>31950.599930612214</v>
      </c>
    </row>
    <row r="163" spans="1:10">
      <c r="A163" s="108" t="s">
        <v>296</v>
      </c>
      <c r="B163" s="108">
        <v>5</v>
      </c>
      <c r="C163" s="248">
        <v>20</v>
      </c>
      <c r="D163" s="95">
        <f t="shared" ref="D163:J163" si="34">(((B78+B69+B95+B63)*100)/50)*$C$163*D133</f>
        <v>29063.335680000004</v>
      </c>
      <c r="E163" s="95">
        <f t="shared" si="34"/>
        <v>45774.753696000014</v>
      </c>
      <c r="F163" s="95">
        <f t="shared" si="34"/>
        <v>64084.65517440001</v>
      </c>
      <c r="G163" s="95">
        <f t="shared" si="34"/>
        <v>84111.109916400033</v>
      </c>
      <c r="H163" s="95">
        <f t="shared" si="34"/>
        <v>105979.99849466402</v>
      </c>
      <c r="I163" s="95">
        <f t="shared" si="34"/>
        <v>129825.49815596342</v>
      </c>
      <c r="J163" s="95">
        <f t="shared" si="34"/>
        <v>155790.59778715612</v>
      </c>
    </row>
    <row r="164" spans="1:10">
      <c r="A164" s="94" t="s">
        <v>297</v>
      </c>
      <c r="B164" s="94">
        <v>5</v>
      </c>
      <c r="C164" s="229">
        <v>20</v>
      </c>
      <c r="D164" s="95">
        <f t="shared" ref="D164:J164" si="35">(((B78+B69+B95+B63)*100)/50)*$C$164*D133</f>
        <v>29063.335680000004</v>
      </c>
      <c r="E164" s="95">
        <f t="shared" si="35"/>
        <v>45774.753696000014</v>
      </c>
      <c r="F164" s="95">
        <f t="shared" si="35"/>
        <v>64084.65517440001</v>
      </c>
      <c r="G164" s="95">
        <f t="shared" si="35"/>
        <v>84111.109916400033</v>
      </c>
      <c r="H164" s="95">
        <f t="shared" si="35"/>
        <v>105979.99849466402</v>
      </c>
      <c r="I164" s="95">
        <f t="shared" si="35"/>
        <v>129825.49815596342</v>
      </c>
      <c r="J164" s="95">
        <f t="shared" si="35"/>
        <v>155790.59778715612</v>
      </c>
    </row>
    <row r="165" spans="1:10">
      <c r="A165" s="10"/>
      <c r="B165" s="10"/>
      <c r="C165" s="10"/>
      <c r="D165" s="10"/>
      <c r="E165" s="10"/>
      <c r="F165" s="10"/>
      <c r="G165" s="10"/>
      <c r="H165" s="10"/>
      <c r="I165" s="10"/>
      <c r="J165" s="10"/>
    </row>
    <row r="166" spans="1:10">
      <c r="A166" s="10"/>
      <c r="B166" s="10"/>
      <c r="C166" s="10"/>
      <c r="D166" s="10"/>
      <c r="E166" s="10"/>
      <c r="F166" s="10"/>
      <c r="G166" s="10"/>
      <c r="H166" s="10"/>
      <c r="I166" s="10"/>
      <c r="J166" s="10"/>
    </row>
    <row r="167" spans="1:10">
      <c r="A167" s="10"/>
      <c r="B167" s="10"/>
      <c r="C167" s="10"/>
      <c r="D167" s="10"/>
      <c r="E167" s="10"/>
      <c r="F167" s="10"/>
      <c r="G167" s="10"/>
      <c r="H167" s="10"/>
      <c r="I167" s="10"/>
      <c r="J167" s="10"/>
    </row>
    <row r="168" spans="1:10">
      <c r="A168" s="10"/>
      <c r="B168" s="10"/>
      <c r="C168" s="10"/>
      <c r="D168" s="10"/>
      <c r="E168" s="10"/>
      <c r="F168" s="10"/>
      <c r="G168" s="10"/>
      <c r="H168" s="10"/>
      <c r="I168" s="10"/>
      <c r="J168" s="10"/>
    </row>
    <row r="169" spans="1:10">
      <c r="A169" s="194" t="s">
        <v>341</v>
      </c>
      <c r="B169" s="95"/>
      <c r="C169" s="95"/>
      <c r="D169" s="95"/>
      <c r="E169" s="95">
        <f>'5.Closing Stock &amp; W Capital'!F7</f>
        <v>24286.7017935</v>
      </c>
      <c r="F169" s="95">
        <f>'5.Closing Stock &amp; W Capital'!G7</f>
        <v>38251.555324762514</v>
      </c>
      <c r="G169" s="95">
        <f>'5.Closing Stock &amp; W Capital'!H7</f>
        <v>53552.177454667508</v>
      </c>
      <c r="H169" s="95">
        <f>'5.Closing Stock &amp; W Capital'!I7</f>
        <v>70287.232909251106</v>
      </c>
      <c r="I169" s="95">
        <f>'5.Closing Stock &amp; W Capital'!J7</f>
        <v>88561.913465656398</v>
      </c>
      <c r="J169" s="95">
        <f>'5.Closing Stock &amp; W Capital'!K7</f>
        <v>108488.3439954291</v>
      </c>
    </row>
    <row r="170" spans="1:10">
      <c r="A170" s="194" t="s">
        <v>342</v>
      </c>
      <c r="B170" s="95"/>
      <c r="C170" s="95"/>
      <c r="D170" s="95">
        <f>'5.Closing Stock &amp; W Capital'!E16</f>
        <v>24286.7017935</v>
      </c>
      <c r="E170" s="95">
        <f>'5.Closing Stock &amp; W Capital'!F16</f>
        <v>38251.555324762514</v>
      </c>
      <c r="F170" s="95">
        <f>'5.Closing Stock &amp; W Capital'!G16</f>
        <v>53552.177454667508</v>
      </c>
      <c r="G170" s="95">
        <f>'5.Closing Stock &amp; W Capital'!H16</f>
        <v>70287.232909251106</v>
      </c>
      <c r="H170" s="95">
        <f>'5.Closing Stock &amp; W Capital'!I16</f>
        <v>88561.913465656398</v>
      </c>
      <c r="I170" s="95">
        <f>'5.Closing Stock &amp; W Capital'!J16</f>
        <v>108488.3439954291</v>
      </c>
      <c r="J170" s="95">
        <f>'5.Closing Stock &amp; W Capital'!K16</f>
        <v>130186.01279451489</v>
      </c>
    </row>
    <row r="171" spans="1:10">
      <c r="A171" s="95"/>
      <c r="B171" s="95"/>
      <c r="C171" s="95"/>
      <c r="D171" s="95"/>
      <c r="E171" s="95"/>
      <c r="F171" s="95"/>
      <c r="G171" s="95"/>
      <c r="H171" s="95"/>
      <c r="I171" s="95"/>
      <c r="J171" s="95"/>
    </row>
    <row r="172" spans="1:10">
      <c r="A172" s="114" t="s">
        <v>319</v>
      </c>
      <c r="B172" s="95"/>
      <c r="C172" s="95"/>
      <c r="D172" s="114">
        <f>SUM(D155:D169)-D170</f>
        <v>126210.14285399999</v>
      </c>
      <c r="E172" s="114">
        <f>SUM(E155:E169)-E170</f>
        <v>223067.67678855007</v>
      </c>
      <c r="F172" s="114">
        <f t="shared" ref="F172:J172" si="36">SUM(F155:F169)-F170</f>
        <v>316544.92031783256</v>
      </c>
      <c r="G172" s="114">
        <f t="shared" si="36"/>
        <v>418812.21900807199</v>
      </c>
      <c r="H172" s="114">
        <f t="shared" si="36"/>
        <v>530514.8852665408</v>
      </c>
      <c r="I172" s="114">
        <f t="shared" si="36"/>
        <v>652340.78760333615</v>
      </c>
      <c r="J172" s="114">
        <f t="shared" si="36"/>
        <v>785022.99296064477</v>
      </c>
    </row>
    <row r="173" spans="1:10">
      <c r="A173" s="93"/>
      <c r="B173" s="93"/>
      <c r="C173" s="93"/>
      <c r="D173" s="93"/>
      <c r="E173" s="93"/>
      <c r="F173" s="93"/>
      <c r="G173" s="93"/>
      <c r="H173" s="93"/>
      <c r="I173" s="93"/>
      <c r="J173" s="93"/>
    </row>
    <row r="174" spans="1:10">
      <c r="A174" s="195" t="s">
        <v>310</v>
      </c>
      <c r="B174" s="195"/>
      <c r="C174" s="195"/>
      <c r="D174" s="114"/>
      <c r="E174" s="114"/>
      <c r="F174" s="114"/>
      <c r="G174" s="114"/>
      <c r="H174" s="114"/>
      <c r="I174" s="114"/>
      <c r="J174" s="114"/>
    </row>
    <row r="175" spans="1:10">
      <c r="A175" s="94" t="s">
        <v>186</v>
      </c>
      <c r="B175" s="229">
        <v>1</v>
      </c>
      <c r="C175" s="247">
        <v>10000</v>
      </c>
      <c r="D175" s="95">
        <f t="shared" ref="D175:J175" si="37">$B$175*$C$175*12*D133</f>
        <v>120000</v>
      </c>
      <c r="E175" s="95">
        <f t="shared" si="37"/>
        <v>126000</v>
      </c>
      <c r="F175" s="95">
        <f t="shared" si="37"/>
        <v>132300</v>
      </c>
      <c r="G175" s="95">
        <f t="shared" si="37"/>
        <v>138915.00000000003</v>
      </c>
      <c r="H175" s="95">
        <f t="shared" si="37"/>
        <v>145860.75000000003</v>
      </c>
      <c r="I175" s="95">
        <f t="shared" si="37"/>
        <v>153153.78750000003</v>
      </c>
      <c r="J175" s="95">
        <f t="shared" si="37"/>
        <v>160811.47687500005</v>
      </c>
    </row>
    <row r="176" spans="1:10">
      <c r="A176" s="94"/>
      <c r="B176" s="229"/>
      <c r="C176" s="247"/>
      <c r="D176" s="95"/>
      <c r="E176" s="95"/>
      <c r="F176" s="95"/>
      <c r="G176" s="95"/>
      <c r="H176" s="95"/>
      <c r="I176" s="95"/>
      <c r="J176" s="95"/>
    </row>
    <row r="177" spans="1:10">
      <c r="A177" s="94"/>
      <c r="B177" s="229"/>
      <c r="C177" s="247"/>
      <c r="D177" s="95"/>
      <c r="E177" s="95"/>
      <c r="F177" s="95"/>
      <c r="G177" s="95"/>
      <c r="H177" s="95"/>
      <c r="I177" s="95"/>
      <c r="J177" s="95"/>
    </row>
    <row r="178" spans="1:10">
      <c r="A178" s="94"/>
      <c r="B178" s="229"/>
      <c r="C178" s="247"/>
      <c r="D178" s="95"/>
      <c r="E178" s="95"/>
      <c r="F178" s="95"/>
      <c r="G178" s="95"/>
      <c r="H178" s="95"/>
      <c r="I178" s="95"/>
      <c r="J178" s="95"/>
    </row>
    <row r="179" spans="1:10">
      <c r="A179" s="94"/>
      <c r="B179" s="229"/>
      <c r="C179" s="247"/>
      <c r="D179" s="95"/>
      <c r="E179" s="95"/>
      <c r="F179" s="95"/>
      <c r="G179" s="95"/>
      <c r="H179" s="95"/>
      <c r="I179" s="95"/>
      <c r="J179" s="95"/>
    </row>
    <row r="180" spans="1:10">
      <c r="A180" s="96" t="s">
        <v>310</v>
      </c>
      <c r="B180" s="96"/>
      <c r="C180" s="96"/>
      <c r="D180" s="114">
        <f t="shared" ref="D180:J180" si="38">SUM(D175:D179)</f>
        <v>120000</v>
      </c>
      <c r="E180" s="114">
        <f t="shared" si="38"/>
        <v>126000</v>
      </c>
      <c r="F180" s="114">
        <f t="shared" si="38"/>
        <v>132300</v>
      </c>
      <c r="G180" s="114">
        <f t="shared" si="38"/>
        <v>138915.00000000003</v>
      </c>
      <c r="H180" s="114">
        <f t="shared" si="38"/>
        <v>145860.75000000003</v>
      </c>
      <c r="I180" s="114">
        <f t="shared" si="38"/>
        <v>153153.78750000003</v>
      </c>
      <c r="J180" s="114">
        <f t="shared" si="38"/>
        <v>160811.47687500005</v>
      </c>
    </row>
    <row r="181" spans="1:10">
      <c r="A181" s="195" t="s">
        <v>298</v>
      </c>
      <c r="B181" s="195"/>
      <c r="C181" s="195"/>
      <c r="D181" s="114">
        <f t="shared" ref="D181:J181" si="39">D172+D180</f>
        <v>246210.14285399998</v>
      </c>
      <c r="E181" s="114">
        <f t="shared" si="39"/>
        <v>349067.6767885501</v>
      </c>
      <c r="F181" s="114">
        <f t="shared" si="39"/>
        <v>448844.92031783256</v>
      </c>
      <c r="G181" s="114">
        <f t="shared" si="39"/>
        <v>557727.21900807205</v>
      </c>
      <c r="H181" s="114">
        <f t="shared" si="39"/>
        <v>676375.6352665408</v>
      </c>
      <c r="I181" s="114">
        <f t="shared" si="39"/>
        <v>805494.57510333625</v>
      </c>
      <c r="J181" s="114">
        <f t="shared" si="39"/>
        <v>945834.46983564482</v>
      </c>
    </row>
    <row r="182" spans="1:10">
      <c r="A182" s="94"/>
      <c r="B182" s="94"/>
      <c r="C182" s="94"/>
      <c r="D182" s="95"/>
      <c r="E182" s="95"/>
      <c r="F182" s="95"/>
      <c r="G182" s="95"/>
      <c r="H182" s="95"/>
      <c r="I182" s="95"/>
      <c r="J182" s="95"/>
    </row>
    <row r="183" spans="1:10">
      <c r="A183" s="96" t="s">
        <v>7</v>
      </c>
      <c r="B183" s="96"/>
      <c r="C183" s="96"/>
      <c r="D183" s="114">
        <f t="shared" ref="D183:J183" si="40">D151-D181</f>
        <v>765443.71897800011</v>
      </c>
      <c r="E183" s="114">
        <f t="shared" si="40"/>
        <v>1266406.9115152501</v>
      </c>
      <c r="F183" s="114">
        <f t="shared" si="40"/>
        <v>1816690.4605932075</v>
      </c>
      <c r="G183" s="114">
        <f t="shared" si="40"/>
        <v>2418836.3473001737</v>
      </c>
      <c r="H183" s="114">
        <f t="shared" si="40"/>
        <v>3076655.0965263527</v>
      </c>
      <c r="I183" s="114">
        <f t="shared" si="40"/>
        <v>3794208.6298068985</v>
      </c>
      <c r="J183" s="114">
        <f t="shared" si="40"/>
        <v>4575825.878674184</v>
      </c>
    </row>
    <row r="184" spans="1:10">
      <c r="A184" s="115"/>
      <c r="B184" s="115"/>
      <c r="C184" s="115"/>
      <c r="D184" s="93"/>
      <c r="E184" s="93"/>
      <c r="F184" s="93"/>
      <c r="G184" s="93"/>
      <c r="H184" s="93"/>
      <c r="I184" s="93"/>
      <c r="J184" s="93"/>
    </row>
    <row r="185" spans="1:10">
      <c r="A185" s="415" t="s">
        <v>423</v>
      </c>
      <c r="B185" s="415"/>
      <c r="C185" s="415"/>
      <c r="D185" s="415"/>
      <c r="E185" s="415"/>
      <c r="F185" s="415"/>
      <c r="G185" s="415"/>
      <c r="H185" s="415"/>
      <c r="I185" s="415"/>
      <c r="J185" s="415"/>
    </row>
    <row r="187" spans="1:10">
      <c r="A187" t="s">
        <v>536</v>
      </c>
    </row>
    <row r="188" spans="1:10">
      <c r="A188">
        <v>1</v>
      </c>
      <c r="B188" t="s">
        <v>547</v>
      </c>
    </row>
    <row r="189" spans="1:10">
      <c r="A189">
        <v>2</v>
      </c>
      <c r="B189" t="s">
        <v>548</v>
      </c>
    </row>
    <row r="190" spans="1:10">
      <c r="A190">
        <v>3</v>
      </c>
      <c r="B190" s="93" t="s">
        <v>588</v>
      </c>
    </row>
  </sheetData>
  <mergeCells count="4">
    <mergeCell ref="A131:J131"/>
    <mergeCell ref="A3:H3"/>
    <mergeCell ref="A185:J185"/>
    <mergeCell ref="A4:H4"/>
  </mergeCells>
  <pageMargins left="0.70866141732283472" right="0.70866141732283472" top="0.74803149606299213" bottom="0.74803149606299213" header="0.31496062992125984" footer="0.31496062992125984"/>
  <pageSetup paperSize="9" scale="53"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C22" sqref="C22"/>
    </sheetView>
  </sheetViews>
  <sheetFormatPr defaultRowHeight="15"/>
  <cols>
    <col min="1" max="1" width="30.42578125" bestFit="1" customWidth="1"/>
    <col min="2" max="2" width="11.85546875" customWidth="1"/>
    <col min="3" max="3" width="12.42578125" customWidth="1"/>
    <col min="4" max="4" width="15.42578125" customWidth="1"/>
    <col min="5" max="6" width="16" customWidth="1"/>
    <col min="7" max="7" width="15" customWidth="1"/>
    <col min="8" max="8" width="16.140625" customWidth="1"/>
    <col min="9" max="9" width="15.42578125" customWidth="1"/>
    <col min="10" max="10" width="15.28515625" customWidth="1"/>
  </cols>
  <sheetData>
    <row r="2" spans="1:10" ht="18.75">
      <c r="A2" s="486" t="s">
        <v>575</v>
      </c>
      <c r="B2" s="486"/>
      <c r="C2" s="486"/>
      <c r="D2" s="486"/>
      <c r="E2" s="486"/>
      <c r="F2" s="486"/>
      <c r="G2" s="486"/>
      <c r="H2" s="486"/>
    </row>
    <row r="3" spans="1:10" ht="18.75">
      <c r="A3" s="486" t="s">
        <v>576</v>
      </c>
      <c r="B3" s="486"/>
      <c r="C3" s="486"/>
      <c r="D3" s="486"/>
      <c r="E3" s="486"/>
      <c r="F3" s="486"/>
      <c r="G3" s="486"/>
      <c r="H3" s="486"/>
    </row>
    <row r="4" spans="1:10">
      <c r="A4" s="186" t="s">
        <v>159</v>
      </c>
      <c r="B4" s="251">
        <v>1350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167</v>
      </c>
      <c r="H8" s="119" t="s">
        <v>166</v>
      </c>
    </row>
    <row r="9" spans="1:10">
      <c r="A9" s="94" t="s">
        <v>302</v>
      </c>
      <c r="B9" s="266">
        <v>0.8</v>
      </c>
      <c r="C9" s="266">
        <f>B9+5%</f>
        <v>0.85000000000000009</v>
      </c>
      <c r="D9" s="266">
        <f>C9+5%</f>
        <v>0.90000000000000013</v>
      </c>
      <c r="E9" s="266">
        <f>D9+5%</f>
        <v>0.95000000000000018</v>
      </c>
      <c r="F9" s="266">
        <f>E9+5%</f>
        <v>1.0000000000000002</v>
      </c>
      <c r="G9" s="266">
        <f>F9</f>
        <v>1.0000000000000002</v>
      </c>
      <c r="H9" s="266">
        <f>G9</f>
        <v>1.0000000000000002</v>
      </c>
    </row>
    <row r="10" spans="1:10">
      <c r="A10" s="96" t="s">
        <v>320</v>
      </c>
      <c r="B10" s="190">
        <f t="shared" ref="B10:H10" si="0">$B$4*B9*$B$6</f>
        <v>12960</v>
      </c>
      <c r="C10" s="190">
        <f t="shared" si="0"/>
        <v>13770.000000000004</v>
      </c>
      <c r="D10" s="190">
        <f t="shared" si="0"/>
        <v>14580.000000000004</v>
      </c>
      <c r="E10" s="190">
        <f t="shared" si="0"/>
        <v>15390.000000000004</v>
      </c>
      <c r="F10" s="190">
        <f t="shared" si="0"/>
        <v>16200.000000000004</v>
      </c>
      <c r="G10" s="190">
        <f t="shared" si="0"/>
        <v>16200.000000000004</v>
      </c>
      <c r="H10" s="190">
        <f t="shared" si="0"/>
        <v>16200.000000000004</v>
      </c>
    </row>
    <row r="15" spans="1:10" ht="18.75">
      <c r="A15" s="414" t="s">
        <v>577</v>
      </c>
      <c r="B15" s="414"/>
      <c r="C15" s="414"/>
      <c r="D15" s="414"/>
      <c r="E15" s="414"/>
      <c r="F15" s="414"/>
      <c r="G15" s="414"/>
      <c r="H15" s="414"/>
      <c r="I15" s="414"/>
      <c r="J15" s="414"/>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132</v>
      </c>
      <c r="C18" s="147" t="s">
        <v>151</v>
      </c>
      <c r="D18" s="119" t="s">
        <v>2</v>
      </c>
      <c r="E18" s="119" t="s">
        <v>3</v>
      </c>
      <c r="F18" s="119" t="s">
        <v>4</v>
      </c>
      <c r="G18" s="119" t="s">
        <v>5</v>
      </c>
      <c r="H18" s="119" t="s">
        <v>6</v>
      </c>
      <c r="I18" s="119" t="s">
        <v>167</v>
      </c>
      <c r="J18" s="119" t="s">
        <v>166</v>
      </c>
    </row>
    <row r="19" spans="1:10">
      <c r="A19" s="94"/>
      <c r="B19" s="94"/>
      <c r="C19" s="94"/>
      <c r="D19" s="94"/>
      <c r="E19" s="94"/>
      <c r="F19" s="94"/>
      <c r="G19" s="94"/>
      <c r="H19" s="94"/>
      <c r="I19" s="94"/>
      <c r="J19" s="94"/>
    </row>
    <row r="20" spans="1:10">
      <c r="A20" s="96" t="s">
        <v>175</v>
      </c>
      <c r="B20" s="96"/>
      <c r="C20" s="96"/>
      <c r="D20" s="94"/>
      <c r="E20" s="94"/>
      <c r="F20" s="94"/>
      <c r="G20" s="94"/>
      <c r="H20" s="94"/>
      <c r="I20" s="94"/>
      <c r="J20" s="94"/>
    </row>
    <row r="21" spans="1:10">
      <c r="A21" s="94" t="s">
        <v>322</v>
      </c>
      <c r="B21" s="94"/>
      <c r="C21" s="247">
        <v>300</v>
      </c>
      <c r="D21" s="95">
        <f t="shared" ref="D21:J21" si="2">B10*$C$21*D17</f>
        <v>3888000</v>
      </c>
      <c r="E21" s="95">
        <f t="shared" si="2"/>
        <v>4337550.0000000009</v>
      </c>
      <c r="F21" s="95">
        <f t="shared" si="2"/>
        <v>4822335.0000000009</v>
      </c>
      <c r="G21" s="95">
        <f t="shared" si="2"/>
        <v>5344754.6250000019</v>
      </c>
      <c r="H21" s="95">
        <f t="shared" si="2"/>
        <v>5907360.3750000019</v>
      </c>
      <c r="I21" s="95">
        <f t="shared" si="2"/>
        <v>6202728.3937500026</v>
      </c>
      <c r="J21" s="95">
        <f t="shared" si="2"/>
        <v>6512864.8134375028</v>
      </c>
    </row>
    <row r="22" spans="1:10">
      <c r="A22" s="94"/>
      <c r="B22" s="94"/>
      <c r="C22" s="95"/>
      <c r="D22" s="95"/>
      <c r="E22" s="95"/>
      <c r="F22" s="95"/>
      <c r="G22" s="95"/>
      <c r="H22" s="95"/>
      <c r="I22" s="95"/>
      <c r="J22" s="95"/>
    </row>
    <row r="23" spans="1:10">
      <c r="A23" s="96" t="s">
        <v>142</v>
      </c>
      <c r="B23" s="96"/>
      <c r="C23" s="114"/>
      <c r="D23" s="95">
        <f t="shared" ref="D23:J23" si="3">SUM(D21:D21)</f>
        <v>3888000</v>
      </c>
      <c r="E23" s="95">
        <f t="shared" si="3"/>
        <v>4337550.0000000009</v>
      </c>
      <c r="F23" s="95">
        <f t="shared" si="3"/>
        <v>4822335.0000000009</v>
      </c>
      <c r="G23" s="95">
        <f t="shared" si="3"/>
        <v>5344754.6250000019</v>
      </c>
      <c r="H23" s="95">
        <f t="shared" si="3"/>
        <v>5907360.3750000019</v>
      </c>
      <c r="I23" s="95">
        <f t="shared" si="3"/>
        <v>6202728.3937500026</v>
      </c>
      <c r="J23" s="95">
        <f t="shared" si="3"/>
        <v>6512864.8134375028</v>
      </c>
    </row>
    <row r="24" spans="1:10">
      <c r="A24" s="94"/>
      <c r="B24" s="94"/>
      <c r="C24" s="95"/>
      <c r="D24" s="95"/>
      <c r="E24" s="95"/>
      <c r="F24" s="95"/>
      <c r="G24" s="95"/>
      <c r="H24" s="95"/>
      <c r="I24" s="95"/>
      <c r="J24" s="95"/>
    </row>
    <row r="25" spans="1:10">
      <c r="A25" s="96" t="s">
        <v>141</v>
      </c>
      <c r="B25" s="96"/>
      <c r="C25" s="95"/>
      <c r="D25" s="95"/>
      <c r="E25" s="95"/>
      <c r="F25" s="95"/>
      <c r="G25" s="95"/>
      <c r="H25" s="95"/>
      <c r="I25" s="95"/>
      <c r="J25" s="95"/>
    </row>
    <row r="26" spans="1:10">
      <c r="A26" s="96" t="s">
        <v>312</v>
      </c>
      <c r="B26" s="96"/>
      <c r="C26" s="95"/>
      <c r="D26" s="95"/>
      <c r="E26" s="95"/>
      <c r="F26" s="95"/>
      <c r="G26" s="95"/>
      <c r="H26" s="95"/>
      <c r="I26" s="95"/>
      <c r="J26" s="95"/>
    </row>
    <row r="27" spans="1:10">
      <c r="A27" s="94" t="s">
        <v>303</v>
      </c>
      <c r="B27" s="229" t="s">
        <v>299</v>
      </c>
      <c r="C27" s="247">
        <v>2</v>
      </c>
      <c r="D27" s="95">
        <f t="shared" ref="D27:J27" si="4">$B$4*$C$27*D17*4</f>
        <v>10800</v>
      </c>
      <c r="E27" s="95">
        <f t="shared" si="4"/>
        <v>11340</v>
      </c>
      <c r="F27" s="95">
        <f t="shared" si="4"/>
        <v>11907</v>
      </c>
      <c r="G27" s="95">
        <f t="shared" si="4"/>
        <v>12502.350000000002</v>
      </c>
      <c r="H27" s="95">
        <f t="shared" si="4"/>
        <v>13127.467500000002</v>
      </c>
      <c r="I27" s="95">
        <f t="shared" si="4"/>
        <v>13783.840875000004</v>
      </c>
      <c r="J27" s="95">
        <f t="shared" si="4"/>
        <v>14473.032918750005</v>
      </c>
    </row>
    <row r="28" spans="1:10">
      <c r="A28" s="94" t="s">
        <v>304</v>
      </c>
      <c r="B28" s="229" t="s">
        <v>299</v>
      </c>
      <c r="C28" s="247">
        <v>10</v>
      </c>
      <c r="D28" s="95">
        <f t="shared" ref="D28:J28" si="5">$B$4*$C$28*D17*12</f>
        <v>162000</v>
      </c>
      <c r="E28" s="95">
        <f t="shared" si="5"/>
        <v>170100</v>
      </c>
      <c r="F28" s="95">
        <f t="shared" si="5"/>
        <v>178605</v>
      </c>
      <c r="G28" s="95">
        <f t="shared" si="5"/>
        <v>187535.25000000003</v>
      </c>
      <c r="H28" s="95">
        <f t="shared" si="5"/>
        <v>196912.01250000001</v>
      </c>
      <c r="I28" s="95">
        <f t="shared" si="5"/>
        <v>206757.61312500003</v>
      </c>
      <c r="J28" s="95">
        <f t="shared" si="5"/>
        <v>217095.49378125009</v>
      </c>
    </row>
    <row r="29" spans="1:10">
      <c r="A29" s="94" t="s">
        <v>305</v>
      </c>
      <c r="B29" s="229"/>
      <c r="C29" s="247">
        <v>10000</v>
      </c>
      <c r="D29" s="95">
        <f>$C$29*12*D17</f>
        <v>120000</v>
      </c>
      <c r="E29" s="95">
        <f t="shared" ref="E29:J29" si="6">$C$29*12*E17</f>
        <v>126000</v>
      </c>
      <c r="F29" s="95">
        <f t="shared" si="6"/>
        <v>132300</v>
      </c>
      <c r="G29" s="95">
        <f t="shared" si="6"/>
        <v>138915.00000000003</v>
      </c>
      <c r="H29" s="95">
        <f t="shared" si="6"/>
        <v>145860.75000000003</v>
      </c>
      <c r="I29" s="95">
        <f t="shared" si="6"/>
        <v>153153.78750000003</v>
      </c>
      <c r="J29" s="95">
        <f t="shared" si="6"/>
        <v>160811.47687500005</v>
      </c>
    </row>
    <row r="30" spans="1:10">
      <c r="A30" s="94"/>
      <c r="B30" s="229"/>
      <c r="C30" s="247"/>
      <c r="D30" s="95"/>
      <c r="E30" s="95"/>
      <c r="F30" s="95"/>
      <c r="G30" s="95"/>
      <c r="H30" s="95"/>
      <c r="I30" s="95"/>
      <c r="J30" s="95"/>
    </row>
    <row r="31" spans="1:10">
      <c r="A31" s="94"/>
      <c r="B31" s="229"/>
      <c r="C31" s="247"/>
      <c r="D31" s="95"/>
      <c r="E31" s="95"/>
      <c r="F31" s="95"/>
      <c r="G31" s="95"/>
      <c r="H31" s="95"/>
      <c r="I31" s="95"/>
      <c r="J31" s="95"/>
    </row>
    <row r="32" spans="1:10">
      <c r="A32" s="94"/>
      <c r="B32" s="229"/>
      <c r="C32" s="247"/>
      <c r="D32" s="95"/>
      <c r="E32" s="95"/>
      <c r="F32" s="95"/>
      <c r="G32" s="95"/>
      <c r="H32" s="95"/>
      <c r="I32" s="95"/>
      <c r="J32" s="95"/>
    </row>
    <row r="33" spans="1:10">
      <c r="A33" s="94"/>
      <c r="B33" s="229"/>
      <c r="C33" s="247"/>
      <c r="D33" s="95"/>
      <c r="E33" s="95"/>
      <c r="F33" s="95"/>
      <c r="G33" s="95"/>
      <c r="H33" s="95"/>
      <c r="I33" s="95"/>
      <c r="J33" s="95"/>
    </row>
    <row r="34" spans="1:10">
      <c r="A34" s="96" t="s">
        <v>319</v>
      </c>
      <c r="B34" s="234"/>
      <c r="C34" s="250"/>
      <c r="D34" s="114">
        <f>SUM(D27:D33)</f>
        <v>292800</v>
      </c>
      <c r="E34" s="114">
        <f t="shared" ref="E34:J34" si="7">SUM(E27:E33)</f>
        <v>307440</v>
      </c>
      <c r="F34" s="114">
        <f t="shared" si="7"/>
        <v>322812</v>
      </c>
      <c r="G34" s="114">
        <f t="shared" si="7"/>
        <v>338952.60000000009</v>
      </c>
      <c r="H34" s="114">
        <f t="shared" si="7"/>
        <v>355900.23000000004</v>
      </c>
      <c r="I34" s="114">
        <f t="shared" si="7"/>
        <v>373695.24150000006</v>
      </c>
      <c r="J34" s="114">
        <f t="shared" si="7"/>
        <v>392380.00357500016</v>
      </c>
    </row>
    <row r="35" spans="1:10">
      <c r="A35" s="96"/>
      <c r="B35" s="234"/>
      <c r="C35" s="250"/>
      <c r="D35" s="114"/>
      <c r="E35" s="114"/>
      <c r="F35" s="114"/>
      <c r="G35" s="114"/>
      <c r="H35" s="114"/>
      <c r="I35" s="114"/>
      <c r="J35" s="114"/>
    </row>
    <row r="36" spans="1:10">
      <c r="A36" s="96" t="s">
        <v>310</v>
      </c>
      <c r="B36" s="229"/>
      <c r="C36" s="247"/>
      <c r="D36" s="95"/>
      <c r="E36" s="95"/>
      <c r="F36" s="95"/>
      <c r="G36" s="95"/>
      <c r="H36" s="95"/>
      <c r="I36" s="95"/>
      <c r="J36" s="95"/>
    </row>
    <row r="37" spans="1:10">
      <c r="A37" s="94" t="s">
        <v>321</v>
      </c>
      <c r="B37" s="229">
        <v>1</v>
      </c>
      <c r="C37" s="247">
        <v>15000</v>
      </c>
      <c r="D37" s="95">
        <f>$B$37*$C$37*D17*12</f>
        <v>180000</v>
      </c>
      <c r="E37" s="95">
        <f t="shared" ref="E37:J37" si="8">$B$37*$C$37*E17*12</f>
        <v>189000</v>
      </c>
      <c r="F37" s="95">
        <f t="shared" si="8"/>
        <v>198450</v>
      </c>
      <c r="G37" s="95">
        <f t="shared" si="8"/>
        <v>208372.50000000006</v>
      </c>
      <c r="H37" s="95">
        <f t="shared" si="8"/>
        <v>218791.12500000006</v>
      </c>
      <c r="I37" s="95">
        <f t="shared" si="8"/>
        <v>229730.68125000005</v>
      </c>
      <c r="J37" s="95">
        <f t="shared" si="8"/>
        <v>241217.21531250008</v>
      </c>
    </row>
    <row r="38" spans="1:10">
      <c r="A38" s="94"/>
      <c r="B38" s="229"/>
      <c r="C38" s="247"/>
      <c r="D38" s="95"/>
      <c r="E38" s="95"/>
      <c r="F38" s="95"/>
      <c r="G38" s="95"/>
      <c r="H38" s="95"/>
      <c r="I38" s="95"/>
      <c r="J38" s="95"/>
    </row>
    <row r="39" spans="1:10">
      <c r="A39" s="94"/>
      <c r="B39" s="229"/>
      <c r="C39" s="247"/>
      <c r="D39" s="95"/>
      <c r="E39" s="95"/>
      <c r="F39" s="95"/>
      <c r="G39" s="95"/>
      <c r="H39" s="95"/>
      <c r="I39" s="95"/>
      <c r="J39" s="95"/>
    </row>
    <row r="40" spans="1:10">
      <c r="A40" s="94"/>
      <c r="B40" s="229"/>
      <c r="C40" s="247"/>
      <c r="D40" s="95"/>
      <c r="E40" s="95"/>
      <c r="F40" s="95"/>
      <c r="G40" s="95"/>
      <c r="H40" s="95"/>
      <c r="I40" s="95"/>
      <c r="J40" s="95"/>
    </row>
    <row r="41" spans="1:10">
      <c r="A41" s="94"/>
      <c r="B41" s="229"/>
      <c r="C41" s="247"/>
      <c r="D41" s="95"/>
      <c r="E41" s="95"/>
      <c r="F41" s="95"/>
      <c r="G41" s="95"/>
      <c r="H41" s="95"/>
      <c r="I41" s="95"/>
      <c r="J41" s="95"/>
    </row>
    <row r="42" spans="1:10">
      <c r="A42" s="94"/>
      <c r="B42" s="229"/>
      <c r="C42" s="247"/>
      <c r="D42" s="95"/>
      <c r="E42" s="95"/>
      <c r="F42" s="95"/>
      <c r="G42" s="95"/>
      <c r="H42" s="95"/>
      <c r="I42" s="95"/>
      <c r="J42" s="95"/>
    </row>
    <row r="43" spans="1:10">
      <c r="A43" s="96" t="s">
        <v>323</v>
      </c>
      <c r="B43" s="96"/>
      <c r="C43" s="114"/>
      <c r="D43" s="114">
        <f>SUM(D37:D42)</f>
        <v>180000</v>
      </c>
      <c r="E43" s="114">
        <f t="shared" ref="E43:J43" si="9">SUM(E37:E42)</f>
        <v>189000</v>
      </c>
      <c r="F43" s="114">
        <f t="shared" si="9"/>
        <v>198450</v>
      </c>
      <c r="G43" s="114">
        <f t="shared" si="9"/>
        <v>208372.50000000006</v>
      </c>
      <c r="H43" s="114">
        <f t="shared" si="9"/>
        <v>218791.12500000006</v>
      </c>
      <c r="I43" s="114">
        <f t="shared" si="9"/>
        <v>229730.68125000005</v>
      </c>
      <c r="J43" s="114">
        <f t="shared" si="9"/>
        <v>241217.21531250008</v>
      </c>
    </row>
    <row r="44" spans="1:10">
      <c r="A44" s="96"/>
      <c r="B44" s="96"/>
      <c r="C44" s="114"/>
      <c r="D44" s="114"/>
      <c r="E44" s="114"/>
      <c r="F44" s="114"/>
      <c r="G44" s="114"/>
      <c r="H44" s="114"/>
      <c r="I44" s="114"/>
      <c r="J44" s="114"/>
    </row>
    <row r="45" spans="1:10">
      <c r="A45" s="96" t="s">
        <v>129</v>
      </c>
      <c r="B45" s="96"/>
      <c r="C45" s="114"/>
      <c r="D45" s="114">
        <f>D34+D43</f>
        <v>472800</v>
      </c>
      <c r="E45" s="114">
        <f t="shared" ref="E45:J45" si="10">E34+E43</f>
        <v>496440</v>
      </c>
      <c r="F45" s="114">
        <f t="shared" si="10"/>
        <v>521262</v>
      </c>
      <c r="G45" s="114">
        <f t="shared" si="10"/>
        <v>547325.10000000009</v>
      </c>
      <c r="H45" s="114">
        <f t="shared" si="10"/>
        <v>574691.3550000001</v>
      </c>
      <c r="I45" s="114">
        <f t="shared" si="10"/>
        <v>603425.92275000014</v>
      </c>
      <c r="J45" s="114">
        <f t="shared" si="10"/>
        <v>633597.21888750023</v>
      </c>
    </row>
    <row r="46" spans="1:10">
      <c r="A46" s="94"/>
      <c r="B46" s="94"/>
      <c r="C46" s="95"/>
      <c r="D46" s="95"/>
      <c r="E46" s="95"/>
      <c r="F46" s="95"/>
      <c r="G46" s="95"/>
      <c r="H46" s="95"/>
      <c r="I46" s="95"/>
      <c r="J46" s="95"/>
    </row>
    <row r="47" spans="1:10">
      <c r="A47" s="96" t="s">
        <v>685</v>
      </c>
      <c r="B47" s="96"/>
      <c r="C47" s="114"/>
      <c r="D47" s="114">
        <f t="shared" ref="D47:J47" si="11">D23-D45</f>
        <v>3415200</v>
      </c>
      <c r="E47" s="114">
        <f t="shared" si="11"/>
        <v>3841110.0000000009</v>
      </c>
      <c r="F47" s="114">
        <f t="shared" si="11"/>
        <v>4301073.0000000009</v>
      </c>
      <c r="G47" s="114">
        <f t="shared" si="11"/>
        <v>4797429.5250000022</v>
      </c>
      <c r="H47" s="114">
        <f t="shared" si="11"/>
        <v>5332669.0200000014</v>
      </c>
      <c r="I47" s="114">
        <f t="shared" si="11"/>
        <v>5599302.4710000027</v>
      </c>
      <c r="J47" s="114">
        <f t="shared" si="11"/>
        <v>5879267.5945500024</v>
      </c>
    </row>
    <row r="48" spans="1:10">
      <c r="A48" s="93"/>
      <c r="B48" s="93"/>
      <c r="C48" s="93"/>
      <c r="D48" s="93"/>
      <c r="E48" s="93"/>
      <c r="F48" s="93"/>
      <c r="G48" s="93"/>
      <c r="H48" s="93"/>
      <c r="I48" s="93"/>
      <c r="J48" s="93"/>
    </row>
    <row r="49" spans="1:10">
      <c r="A49" s="93"/>
    </row>
    <row r="51" spans="1:10">
      <c r="A51" s="415" t="s">
        <v>423</v>
      </c>
      <c r="B51" s="415"/>
      <c r="C51" s="415"/>
      <c r="D51" s="415"/>
      <c r="E51" s="415"/>
      <c r="F51" s="415"/>
      <c r="G51" s="415"/>
      <c r="H51" s="415"/>
      <c r="I51" s="415"/>
      <c r="J51" s="415"/>
    </row>
    <row r="53" spans="1:10">
      <c r="A53" t="s">
        <v>536</v>
      </c>
    </row>
    <row r="54" spans="1:10">
      <c r="A54">
        <v>1</v>
      </c>
      <c r="B54" t="s">
        <v>547</v>
      </c>
    </row>
    <row r="55" spans="1:10">
      <c r="A55">
        <v>2</v>
      </c>
      <c r="B55" t="s">
        <v>548</v>
      </c>
    </row>
    <row r="56" spans="1:10">
      <c r="A56">
        <v>3</v>
      </c>
      <c r="B56" s="93" t="s">
        <v>588</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E13" sqref="E13"/>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14" t="s">
        <v>578</v>
      </c>
      <c r="B3" s="414"/>
      <c r="C3" s="414"/>
      <c r="D3" s="414"/>
      <c r="E3" s="414"/>
      <c r="F3" s="414"/>
      <c r="G3" s="414"/>
      <c r="H3" s="414"/>
      <c r="I3" s="414"/>
      <c r="J3" s="414"/>
      <c r="K3" s="414"/>
      <c r="L3" s="414"/>
    </row>
    <row r="4" spans="1:13" ht="18.75">
      <c r="A4" s="414" t="s">
        <v>579</v>
      </c>
      <c r="B4" s="414"/>
      <c r="C4" s="414"/>
      <c r="D4" s="414"/>
      <c r="E4" s="414"/>
      <c r="F4" s="414"/>
      <c r="G4" s="414"/>
      <c r="H4" s="414"/>
      <c r="I4" s="414"/>
      <c r="J4" s="414"/>
      <c r="K4" s="414"/>
      <c r="L4" s="414"/>
    </row>
    <row r="5" spans="1:13">
      <c r="A5" s="93"/>
      <c r="B5" s="93"/>
      <c r="C5" s="93"/>
    </row>
    <row r="6" spans="1:13">
      <c r="A6" s="93"/>
      <c r="B6" s="93"/>
      <c r="C6" s="93"/>
    </row>
    <row r="7" spans="1:13" ht="45">
      <c r="A7" s="277" t="s">
        <v>144</v>
      </c>
      <c r="B7" s="278" t="s">
        <v>431</v>
      </c>
      <c r="C7" s="278" t="s">
        <v>439</v>
      </c>
      <c r="D7" s="278" t="s">
        <v>437</v>
      </c>
      <c r="E7" s="278" t="s">
        <v>438</v>
      </c>
      <c r="F7" s="278" t="s">
        <v>306</v>
      </c>
      <c r="G7" s="278" t="s">
        <v>440</v>
      </c>
      <c r="H7" s="278" t="s">
        <v>441</v>
      </c>
      <c r="I7" s="278" t="s">
        <v>442</v>
      </c>
      <c r="J7" s="280" t="s">
        <v>445</v>
      </c>
      <c r="K7" s="278" t="s">
        <v>443</v>
      </c>
      <c r="L7" s="280" t="s">
        <v>444</v>
      </c>
      <c r="M7" s="278" t="s">
        <v>447</v>
      </c>
    </row>
    <row r="8" spans="1:13">
      <c r="A8" s="279">
        <v>1</v>
      </c>
      <c r="B8" s="273" t="s">
        <v>432</v>
      </c>
      <c r="C8" s="273"/>
      <c r="D8" s="273"/>
      <c r="E8" s="273">
        <v>6</v>
      </c>
      <c r="F8" s="282">
        <f>D8*E8*C8</f>
        <v>0</v>
      </c>
      <c r="G8" s="273">
        <v>4</v>
      </c>
      <c r="H8" s="282">
        <f>F8/G8</f>
        <v>0</v>
      </c>
      <c r="I8" s="273">
        <v>12</v>
      </c>
      <c r="J8" s="282">
        <f>H8*I8</f>
        <v>0</v>
      </c>
      <c r="K8" s="273">
        <v>3000</v>
      </c>
      <c r="L8" s="273">
        <v>1</v>
      </c>
      <c r="M8" s="282">
        <f t="shared" ref="M8:M17" si="0">D8*L8</f>
        <v>0</v>
      </c>
    </row>
    <row r="9" spans="1:13">
      <c r="A9" s="279">
        <v>2</v>
      </c>
      <c r="B9" s="273" t="s">
        <v>433</v>
      </c>
      <c r="C9" s="273"/>
      <c r="D9" s="273"/>
      <c r="E9" s="273">
        <v>6</v>
      </c>
      <c r="F9" s="282">
        <f t="shared" ref="F9:F17" si="1">D9*E9*C9</f>
        <v>0</v>
      </c>
      <c r="G9" s="273">
        <v>2</v>
      </c>
      <c r="H9" s="282">
        <f>F9/G9</f>
        <v>0</v>
      </c>
      <c r="I9" s="273">
        <v>8</v>
      </c>
      <c r="J9" s="282">
        <f t="shared" ref="J9:J17" si="2">H9*I9</f>
        <v>0</v>
      </c>
      <c r="K9" s="273">
        <v>1800</v>
      </c>
      <c r="L9" s="273">
        <v>1</v>
      </c>
      <c r="M9" s="282">
        <f t="shared" si="0"/>
        <v>0</v>
      </c>
    </row>
    <row r="10" spans="1:13">
      <c r="A10" s="279">
        <v>3</v>
      </c>
      <c r="B10" s="273" t="s">
        <v>434</v>
      </c>
      <c r="C10" s="273"/>
      <c r="D10" s="273"/>
      <c r="E10" s="273">
        <v>6</v>
      </c>
      <c r="F10" s="282">
        <f t="shared" si="1"/>
        <v>0</v>
      </c>
      <c r="G10" s="273">
        <v>2</v>
      </c>
      <c r="H10" s="282">
        <f>F10/G10</f>
        <v>0</v>
      </c>
      <c r="I10" s="273">
        <v>8</v>
      </c>
      <c r="J10" s="282">
        <f t="shared" si="2"/>
        <v>0</v>
      </c>
      <c r="K10" s="273">
        <v>1800</v>
      </c>
      <c r="L10" s="273">
        <v>1</v>
      </c>
      <c r="M10" s="282">
        <f t="shared" si="0"/>
        <v>0</v>
      </c>
    </row>
    <row r="11" spans="1:13">
      <c r="A11" s="279">
        <v>4</v>
      </c>
      <c r="B11" s="273" t="s">
        <v>435</v>
      </c>
      <c r="C11" s="273"/>
      <c r="D11" s="273"/>
      <c r="E11" s="273">
        <v>6</v>
      </c>
      <c r="F11" s="282">
        <f t="shared" si="1"/>
        <v>0</v>
      </c>
      <c r="G11" s="273">
        <v>2</v>
      </c>
      <c r="H11" s="282">
        <f>F11/G11</f>
        <v>0</v>
      </c>
      <c r="I11" s="273">
        <v>4</v>
      </c>
      <c r="J11" s="282">
        <f t="shared" si="2"/>
        <v>0</v>
      </c>
      <c r="K11" s="273">
        <v>1200</v>
      </c>
      <c r="L11" s="273">
        <v>1</v>
      </c>
      <c r="M11" s="282">
        <f t="shared" si="0"/>
        <v>0</v>
      </c>
    </row>
    <row r="12" spans="1:13">
      <c r="A12" s="279">
        <v>5</v>
      </c>
      <c r="B12" s="273" t="s">
        <v>436</v>
      </c>
      <c r="C12" s="273"/>
      <c r="D12" s="273"/>
      <c r="E12" s="273">
        <v>6</v>
      </c>
      <c r="F12" s="282">
        <f t="shared" si="1"/>
        <v>0</v>
      </c>
      <c r="G12" s="273">
        <v>2</v>
      </c>
      <c r="H12" s="282">
        <f>F12/G12</f>
        <v>0</v>
      </c>
      <c r="I12" s="273">
        <v>10</v>
      </c>
      <c r="J12" s="282">
        <f t="shared" si="2"/>
        <v>0</v>
      </c>
      <c r="K12" s="273">
        <v>3000</v>
      </c>
      <c r="L12" s="273">
        <v>1</v>
      </c>
      <c r="M12" s="282">
        <f t="shared" si="0"/>
        <v>0</v>
      </c>
    </row>
    <row r="13" spans="1:13">
      <c r="A13" s="279">
        <v>6</v>
      </c>
      <c r="B13" s="10"/>
      <c r="C13" s="10"/>
      <c r="D13" s="10"/>
      <c r="E13" s="10"/>
      <c r="F13" s="282">
        <f t="shared" si="1"/>
        <v>0</v>
      </c>
      <c r="G13" s="10">
        <v>0</v>
      </c>
      <c r="H13" s="273"/>
      <c r="I13" s="10"/>
      <c r="J13" s="282">
        <f t="shared" si="2"/>
        <v>0</v>
      </c>
      <c r="K13" s="10"/>
      <c r="L13" s="282"/>
      <c r="M13" s="282">
        <f t="shared" si="0"/>
        <v>0</v>
      </c>
    </row>
    <row r="14" spans="1:13">
      <c r="A14" s="279">
        <v>7</v>
      </c>
      <c r="B14" s="10"/>
      <c r="C14" s="10"/>
      <c r="D14" s="10"/>
      <c r="E14" s="10"/>
      <c r="F14" s="282">
        <f t="shared" si="1"/>
        <v>0</v>
      </c>
      <c r="G14" s="10">
        <v>0</v>
      </c>
      <c r="H14" s="273"/>
      <c r="I14" s="10"/>
      <c r="J14" s="282">
        <f t="shared" si="2"/>
        <v>0</v>
      </c>
      <c r="K14" s="10"/>
      <c r="L14" s="282"/>
      <c r="M14" s="282">
        <f t="shared" si="0"/>
        <v>0</v>
      </c>
    </row>
    <row r="15" spans="1:13">
      <c r="A15" s="279">
        <v>8</v>
      </c>
      <c r="B15" s="10"/>
      <c r="C15" s="10"/>
      <c r="D15" s="10"/>
      <c r="E15" s="10"/>
      <c r="F15" s="282">
        <f t="shared" si="1"/>
        <v>0</v>
      </c>
      <c r="G15" s="10">
        <v>0</v>
      </c>
      <c r="H15" s="273"/>
      <c r="I15" s="10"/>
      <c r="J15" s="282">
        <f t="shared" si="2"/>
        <v>0</v>
      </c>
      <c r="K15" s="10"/>
      <c r="L15" s="282"/>
      <c r="M15" s="282">
        <f t="shared" si="0"/>
        <v>0</v>
      </c>
    </row>
    <row r="16" spans="1:13">
      <c r="A16" s="279">
        <v>9</v>
      </c>
      <c r="B16" s="10"/>
      <c r="C16" s="10"/>
      <c r="D16" s="10"/>
      <c r="E16" s="10"/>
      <c r="F16" s="282">
        <f t="shared" si="1"/>
        <v>0</v>
      </c>
      <c r="G16" s="10">
        <v>0</v>
      </c>
      <c r="H16" s="273"/>
      <c r="I16" s="10"/>
      <c r="J16" s="282">
        <f t="shared" si="2"/>
        <v>0</v>
      </c>
      <c r="K16" s="10"/>
      <c r="L16" s="282"/>
      <c r="M16" s="282">
        <f t="shared" si="0"/>
        <v>0</v>
      </c>
    </row>
    <row r="17" spans="1:16">
      <c r="A17" s="279">
        <v>10</v>
      </c>
      <c r="B17" s="10"/>
      <c r="C17" s="10"/>
      <c r="D17" s="10"/>
      <c r="E17" s="10"/>
      <c r="F17" s="282">
        <f t="shared" si="1"/>
        <v>0</v>
      </c>
      <c r="G17" s="10">
        <v>0</v>
      </c>
      <c r="H17" s="273"/>
      <c r="I17" s="10"/>
      <c r="J17" s="282">
        <f t="shared" si="2"/>
        <v>0</v>
      </c>
      <c r="K17" s="10"/>
      <c r="L17" s="282"/>
      <c r="M17" s="282">
        <f t="shared" si="0"/>
        <v>0</v>
      </c>
    </row>
    <row r="18" spans="1:16">
      <c r="A18" s="15"/>
      <c r="B18" s="15"/>
      <c r="C18" s="283"/>
      <c r="D18" s="283"/>
      <c r="E18" s="283"/>
      <c r="F18" s="283"/>
      <c r="G18" s="283"/>
      <c r="H18" s="283"/>
      <c r="I18" s="283"/>
      <c r="J18" s="283"/>
      <c r="K18" s="283"/>
      <c r="L18" s="283"/>
      <c r="M18" s="281"/>
    </row>
    <row r="19" spans="1:16">
      <c r="A19" s="15"/>
      <c r="B19" s="15"/>
      <c r="C19" s="283"/>
      <c r="D19" s="283"/>
      <c r="E19" s="283"/>
      <c r="F19" s="283"/>
      <c r="G19" s="283"/>
      <c r="H19" s="283"/>
      <c r="I19" s="283"/>
      <c r="J19" s="283"/>
      <c r="K19" s="283"/>
      <c r="L19" s="283"/>
      <c r="M19" s="281"/>
    </row>
    <row r="21" spans="1:16" ht="18.75">
      <c r="A21" s="414" t="s">
        <v>580</v>
      </c>
      <c r="B21" s="414"/>
      <c r="C21" s="414"/>
      <c r="D21" s="414"/>
      <c r="E21" s="414"/>
      <c r="F21" s="414"/>
      <c r="G21" s="414"/>
      <c r="H21" s="414"/>
      <c r="I21" s="414"/>
      <c r="J21" s="414"/>
      <c r="K21" s="414"/>
    </row>
    <row r="23" spans="1:16">
      <c r="A23" s="93"/>
      <c r="B23" s="93"/>
      <c r="C23" s="93"/>
      <c r="D23" s="93"/>
      <c r="E23" s="178">
        <v>1</v>
      </c>
      <c r="F23" s="183">
        <f>(E23*5%)+E23</f>
        <v>1.05</v>
      </c>
      <c r="G23" s="183">
        <f t="shared" ref="G23:K23" si="3">(F23*5%)+F23</f>
        <v>1.1025</v>
      </c>
      <c r="H23" s="183">
        <f t="shared" si="3"/>
        <v>1.1576250000000001</v>
      </c>
      <c r="I23" s="183">
        <f t="shared" si="3"/>
        <v>1.2155062500000002</v>
      </c>
      <c r="J23" s="183">
        <f t="shared" si="3"/>
        <v>1.2762815625000004</v>
      </c>
      <c r="K23" s="183">
        <f t="shared" si="3"/>
        <v>1.3400956406250004</v>
      </c>
    </row>
    <row r="24" spans="1:16">
      <c r="A24" s="147" t="s">
        <v>0</v>
      </c>
      <c r="B24" s="147" t="s">
        <v>132</v>
      </c>
      <c r="C24" s="147" t="s">
        <v>145</v>
      </c>
      <c r="D24" s="147" t="s">
        <v>151</v>
      </c>
      <c r="E24" s="119" t="s">
        <v>2</v>
      </c>
      <c r="F24" s="119" t="s">
        <v>3</v>
      </c>
      <c r="G24" s="119" t="s">
        <v>4</v>
      </c>
      <c r="H24" s="119" t="s">
        <v>5</v>
      </c>
      <c r="I24" s="119" t="s">
        <v>6</v>
      </c>
      <c r="J24" s="119" t="s">
        <v>167</v>
      </c>
      <c r="K24" s="119" t="s">
        <v>166</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c r="A27" s="195" t="s">
        <v>449</v>
      </c>
      <c r="B27" s="108"/>
      <c r="C27" s="284"/>
      <c r="D27" s="284"/>
      <c r="E27" s="95"/>
      <c r="F27" s="95"/>
      <c r="G27" s="95"/>
      <c r="H27" s="95"/>
      <c r="I27" s="95"/>
      <c r="J27" s="95"/>
      <c r="K27" s="95"/>
      <c r="P27" s="93"/>
    </row>
    <row r="28" spans="1:16">
      <c r="A28" s="108" t="str">
        <f>B8</f>
        <v>Double Plough</v>
      </c>
      <c r="B28" s="108"/>
      <c r="C28" s="284">
        <f>H8</f>
        <v>0</v>
      </c>
      <c r="D28" s="284">
        <f>K8</f>
        <v>3000</v>
      </c>
      <c r="E28" s="95">
        <f>$C$28*$D$28*E23</f>
        <v>0</v>
      </c>
      <c r="F28" s="95">
        <f t="shared" ref="F28:K28" si="4">$C$28*$D$28*F23</f>
        <v>0</v>
      </c>
      <c r="G28" s="95">
        <f t="shared" si="4"/>
        <v>0</v>
      </c>
      <c r="H28" s="95">
        <f t="shared" si="4"/>
        <v>0</v>
      </c>
      <c r="I28" s="95">
        <f t="shared" si="4"/>
        <v>0</v>
      </c>
      <c r="J28" s="95">
        <f t="shared" si="4"/>
        <v>0</v>
      </c>
      <c r="K28" s="95">
        <f t="shared" si="4"/>
        <v>0</v>
      </c>
      <c r="P28" s="93"/>
    </row>
    <row r="29" spans="1:16">
      <c r="A29" s="108" t="str">
        <f>B9</f>
        <v>Cultivator</v>
      </c>
      <c r="B29" s="108"/>
      <c r="C29" s="284">
        <f t="shared" ref="C29:C38" si="5">H9</f>
        <v>0</v>
      </c>
      <c r="D29" s="284">
        <f>K9</f>
        <v>1800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Rotavator</v>
      </c>
      <c r="B30" s="108"/>
      <c r="C30" s="284">
        <f t="shared" si="5"/>
        <v>0</v>
      </c>
      <c r="D30" s="284">
        <f>K10</f>
        <v>1800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t="str">
        <f>B11</f>
        <v>BBF Seed Sowing Machine</v>
      </c>
      <c r="B31" s="108"/>
      <c r="C31" s="284">
        <f t="shared" si="5"/>
        <v>0</v>
      </c>
      <c r="D31" s="284">
        <f>K11</f>
        <v>1200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t="str">
        <f>B12</f>
        <v>Mobile Threshing</v>
      </c>
      <c r="B32" s="108"/>
      <c r="C32" s="284">
        <f t="shared" si="5"/>
        <v>0</v>
      </c>
      <c r="D32" s="284">
        <f>K12</f>
        <v>3000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84">
        <f t="shared" si="5"/>
        <v>0</v>
      </c>
      <c r="D33" s="284">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84">
        <f t="shared" si="5"/>
        <v>0</v>
      </c>
      <c r="D34" s="284">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84">
        <f t="shared" si="5"/>
        <v>0</v>
      </c>
      <c r="D35" s="284">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84">
        <f t="shared" si="5"/>
        <v>0</v>
      </c>
      <c r="D36" s="284">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84">
        <f t="shared" si="5"/>
        <v>0</v>
      </c>
      <c r="D37" s="284">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84">
        <f t="shared" si="5"/>
        <v>0</v>
      </c>
      <c r="D38" s="284">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142</v>
      </c>
      <c r="B39" s="96"/>
      <c r="C39" s="100"/>
      <c r="D39" s="100"/>
      <c r="E39" s="95">
        <f>SUM(E28:E38)</f>
        <v>0</v>
      </c>
      <c r="F39" s="95">
        <f t="shared" ref="F39:K39" si="17">SUM(F28:F38)</f>
        <v>0</v>
      </c>
      <c r="G39" s="95">
        <f t="shared" si="17"/>
        <v>0</v>
      </c>
      <c r="H39" s="95">
        <f t="shared" si="17"/>
        <v>0</v>
      </c>
      <c r="I39" s="95">
        <f t="shared" si="17"/>
        <v>0</v>
      </c>
      <c r="J39" s="95">
        <f t="shared" si="17"/>
        <v>0</v>
      </c>
      <c r="K39" s="95">
        <f t="shared" si="17"/>
        <v>0</v>
      </c>
      <c r="P39" s="93"/>
    </row>
    <row r="40" spans="1:16">
      <c r="A40" s="94"/>
      <c r="B40" s="94"/>
      <c r="C40" s="98"/>
      <c r="D40" s="98"/>
      <c r="E40" s="95"/>
      <c r="F40" s="95"/>
      <c r="G40" s="95"/>
      <c r="H40" s="95"/>
      <c r="I40" s="95"/>
      <c r="J40" s="95"/>
      <c r="K40" s="95"/>
      <c r="P40" s="93"/>
    </row>
    <row r="41" spans="1:16">
      <c r="A41" s="96" t="s">
        <v>141</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446</v>
      </c>
      <c r="C43" s="98">
        <f>SUM(J8:J17)</f>
        <v>0</v>
      </c>
      <c r="D43" s="229">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448</v>
      </c>
      <c r="C44" s="98">
        <f>SUM(M8:M17)</f>
        <v>0</v>
      </c>
      <c r="D44" s="229">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9"/>
      <c r="D45" s="229"/>
      <c r="E45" s="95"/>
      <c r="F45" s="95"/>
      <c r="G45" s="95"/>
      <c r="H45" s="95"/>
      <c r="I45" s="95"/>
      <c r="J45" s="95"/>
      <c r="K45" s="95"/>
    </row>
    <row r="46" spans="1:16">
      <c r="A46" s="94"/>
      <c r="B46" s="94"/>
      <c r="C46" s="229"/>
      <c r="D46" s="229"/>
      <c r="E46" s="95"/>
      <c r="F46" s="95"/>
      <c r="G46" s="95"/>
      <c r="H46" s="95"/>
      <c r="I46" s="95"/>
      <c r="J46" s="95"/>
      <c r="K46" s="95"/>
    </row>
    <row r="47" spans="1:16">
      <c r="A47" s="94"/>
      <c r="B47" s="94"/>
      <c r="C47" s="229"/>
      <c r="D47" s="229"/>
      <c r="E47" s="95"/>
      <c r="F47" s="95"/>
      <c r="G47" s="95"/>
      <c r="H47" s="95"/>
      <c r="I47" s="95"/>
      <c r="J47" s="95"/>
      <c r="K47" s="95"/>
    </row>
    <row r="48" spans="1:16">
      <c r="A48" s="94"/>
      <c r="B48" s="94"/>
      <c r="C48" s="229"/>
      <c r="D48" s="229"/>
      <c r="E48" s="95"/>
      <c r="F48" s="95"/>
      <c r="G48" s="95"/>
      <c r="H48" s="95"/>
      <c r="I48" s="95"/>
      <c r="J48" s="95"/>
      <c r="K48" s="95"/>
    </row>
    <row r="49" spans="1:12">
      <c r="A49" s="96" t="s">
        <v>319</v>
      </c>
      <c r="B49" s="96"/>
      <c r="C49" s="234"/>
      <c r="D49" s="234"/>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34"/>
      <c r="D50" s="234"/>
      <c r="E50" s="114"/>
      <c r="F50" s="114"/>
      <c r="G50" s="114"/>
      <c r="H50" s="114"/>
      <c r="I50" s="114"/>
      <c r="J50" s="114"/>
      <c r="K50" s="114"/>
    </row>
    <row r="51" spans="1:12">
      <c r="A51" s="195" t="s">
        <v>310</v>
      </c>
      <c r="B51" s="195"/>
      <c r="C51" s="248"/>
      <c r="D51" s="248"/>
      <c r="E51" s="95"/>
      <c r="F51" s="95"/>
      <c r="G51" s="95"/>
      <c r="H51" s="95"/>
      <c r="I51" s="95"/>
      <c r="J51" s="95"/>
      <c r="K51" s="95"/>
    </row>
    <row r="52" spans="1:12">
      <c r="A52" s="108" t="s">
        <v>311</v>
      </c>
      <c r="B52" s="94" t="s">
        <v>390</v>
      </c>
      <c r="C52" s="248">
        <v>1</v>
      </c>
      <c r="D52" s="249"/>
      <c r="E52" s="95">
        <f t="shared" ref="E52:K52" si="21">$C$52*$D$52*12*E23</f>
        <v>0</v>
      </c>
      <c r="F52" s="95">
        <f t="shared" si="21"/>
        <v>0</v>
      </c>
      <c r="G52" s="95">
        <f t="shared" si="21"/>
        <v>0</v>
      </c>
      <c r="H52" s="95">
        <f t="shared" si="21"/>
        <v>0</v>
      </c>
      <c r="I52" s="95">
        <f t="shared" si="21"/>
        <v>0</v>
      </c>
      <c r="J52" s="95">
        <f t="shared" si="21"/>
        <v>0</v>
      </c>
      <c r="K52" s="95">
        <f t="shared" si="21"/>
        <v>0</v>
      </c>
    </row>
    <row r="53" spans="1:12">
      <c r="A53" s="108"/>
      <c r="B53" s="108"/>
      <c r="C53" s="248"/>
      <c r="D53" s="249"/>
      <c r="E53" s="95"/>
      <c r="F53" s="95"/>
      <c r="G53" s="95"/>
      <c r="H53" s="95"/>
      <c r="I53" s="95"/>
      <c r="J53" s="95"/>
      <c r="K53" s="95"/>
    </row>
    <row r="54" spans="1:12">
      <c r="A54" s="108"/>
      <c r="B54" s="108"/>
      <c r="C54" s="248"/>
      <c r="D54" s="249"/>
      <c r="E54" s="95"/>
      <c r="F54" s="95"/>
      <c r="G54" s="95"/>
      <c r="H54" s="95"/>
      <c r="I54" s="95"/>
      <c r="J54" s="95"/>
      <c r="K54" s="95"/>
    </row>
    <row r="55" spans="1:12">
      <c r="A55" s="108"/>
      <c r="B55" s="108"/>
      <c r="C55" s="248"/>
      <c r="D55" s="249"/>
      <c r="E55" s="95"/>
      <c r="F55" s="95"/>
      <c r="G55" s="95"/>
      <c r="H55" s="95"/>
      <c r="I55" s="95"/>
      <c r="J55" s="95"/>
      <c r="K55" s="95"/>
    </row>
    <row r="56" spans="1:12">
      <c r="A56" s="96" t="s">
        <v>323</v>
      </c>
      <c r="B56" s="96"/>
      <c r="C56" s="96"/>
      <c r="D56" s="96"/>
      <c r="E56" s="114">
        <f>SUM(E52:E55)</f>
        <v>0</v>
      </c>
      <c r="F56" s="114">
        <f t="shared" ref="F56:K56" si="22">SUM(F52:F55)</f>
        <v>0</v>
      </c>
      <c r="G56" s="114">
        <f t="shared" si="22"/>
        <v>0</v>
      </c>
      <c r="H56" s="114">
        <f t="shared" si="22"/>
        <v>0</v>
      </c>
      <c r="I56" s="114">
        <f t="shared" si="22"/>
        <v>0</v>
      </c>
      <c r="J56" s="114">
        <f t="shared" si="22"/>
        <v>0</v>
      </c>
      <c r="K56" s="114">
        <f t="shared" si="22"/>
        <v>0</v>
      </c>
    </row>
    <row r="57" spans="1:12">
      <c r="A57" s="96" t="s">
        <v>129</v>
      </c>
      <c r="B57" s="96"/>
      <c r="C57" s="96"/>
      <c r="D57" s="96"/>
      <c r="E57" s="114">
        <f>E49+E56</f>
        <v>0</v>
      </c>
      <c r="F57" s="114">
        <f t="shared" ref="F57:K57" si="23">F49+F56</f>
        <v>0</v>
      </c>
      <c r="G57" s="114">
        <f t="shared" si="23"/>
        <v>0</v>
      </c>
      <c r="H57" s="114">
        <f t="shared" si="23"/>
        <v>0</v>
      </c>
      <c r="I57" s="114">
        <f t="shared" si="23"/>
        <v>0</v>
      </c>
      <c r="J57" s="114">
        <f t="shared" si="23"/>
        <v>0</v>
      </c>
      <c r="K57" s="114">
        <f t="shared" si="23"/>
        <v>0</v>
      </c>
    </row>
    <row r="58" spans="1:12">
      <c r="A58" s="94"/>
      <c r="B58" s="94"/>
      <c r="C58" s="94"/>
      <c r="D58" s="94"/>
      <c r="E58" s="95"/>
      <c r="F58" s="95"/>
      <c r="G58" s="95"/>
      <c r="H58" s="95"/>
      <c r="I58" s="95"/>
      <c r="J58" s="95"/>
      <c r="K58" s="95"/>
    </row>
    <row r="59" spans="1:12">
      <c r="A59" s="96" t="s">
        <v>313</v>
      </c>
      <c r="B59" s="96"/>
      <c r="C59" s="96"/>
      <c r="D59" s="96"/>
      <c r="E59" s="114">
        <f t="shared" ref="E59:K59" si="24">E39-E57</f>
        <v>0</v>
      </c>
      <c r="F59" s="114">
        <f t="shared" si="24"/>
        <v>0</v>
      </c>
      <c r="G59" s="114">
        <f t="shared" si="24"/>
        <v>0</v>
      </c>
      <c r="H59" s="114">
        <f t="shared" si="24"/>
        <v>0</v>
      </c>
      <c r="I59" s="114">
        <f t="shared" si="24"/>
        <v>0</v>
      </c>
      <c r="J59" s="114">
        <f t="shared" si="24"/>
        <v>0</v>
      </c>
      <c r="K59" s="114">
        <f t="shared" si="24"/>
        <v>0</v>
      </c>
    </row>
    <row r="60" spans="1:12">
      <c r="A60" s="260"/>
      <c r="B60" s="260"/>
      <c r="C60" s="260"/>
      <c r="D60" s="260"/>
      <c r="E60" s="261"/>
      <c r="F60" s="261"/>
      <c r="G60" s="261"/>
      <c r="H60" s="261"/>
      <c r="I60" s="261"/>
      <c r="J60" s="261"/>
      <c r="K60" s="261"/>
    </row>
    <row r="61" spans="1:12">
      <c r="A61" s="93"/>
      <c r="B61" s="93"/>
      <c r="C61" s="260"/>
      <c r="D61" s="260"/>
      <c r="E61" s="261"/>
      <c r="F61" s="261"/>
      <c r="G61" s="261"/>
      <c r="H61" s="261"/>
      <c r="I61" s="261"/>
      <c r="J61" s="261"/>
      <c r="K61" s="261"/>
    </row>
    <row r="62" spans="1:12">
      <c r="A62" s="415" t="s">
        <v>421</v>
      </c>
      <c r="B62" s="415"/>
      <c r="C62" s="415"/>
      <c r="D62" s="415"/>
      <c r="E62" s="415"/>
      <c r="F62" s="415"/>
      <c r="G62" s="415"/>
      <c r="H62" s="415"/>
      <c r="I62" s="415"/>
      <c r="J62" s="415"/>
      <c r="K62" s="415"/>
      <c r="L62" s="415"/>
    </row>
    <row r="65" spans="1:2">
      <c r="A65" t="s">
        <v>536</v>
      </c>
    </row>
    <row r="66" spans="1:2">
      <c r="A66">
        <v>1</v>
      </c>
      <c r="B66" t="s">
        <v>547</v>
      </c>
    </row>
    <row r="67" spans="1:2">
      <c r="A67">
        <v>2</v>
      </c>
      <c r="B67" t="s">
        <v>548</v>
      </c>
    </row>
    <row r="68" spans="1:2">
      <c r="A68">
        <v>3</v>
      </c>
      <c r="B68" s="93" t="s">
        <v>588</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80" zoomScaleSheetLayoutView="80" workbookViewId="0">
      <selection activeCell="D1" sqref="D1"/>
    </sheetView>
  </sheetViews>
  <sheetFormatPr defaultRowHeight="15"/>
  <cols>
    <col min="1" max="1" width="41.140625" bestFit="1" customWidth="1"/>
    <col min="2" max="2" width="4.42578125" bestFit="1" customWidth="1"/>
    <col min="3" max="3" width="13.140625"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14" t="s">
        <v>581</v>
      </c>
      <c r="B2" s="414"/>
      <c r="C2" s="414"/>
      <c r="D2" s="414"/>
      <c r="E2" s="414"/>
      <c r="F2" s="414"/>
      <c r="G2" s="414"/>
      <c r="H2" s="414"/>
      <c r="I2" s="414"/>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167</v>
      </c>
      <c r="I6" s="119" t="s">
        <v>166</v>
      </c>
    </row>
    <row r="7" spans="1:9">
      <c r="A7" s="100" t="s">
        <v>549</v>
      </c>
      <c r="B7" s="98"/>
      <c r="C7" s="98"/>
      <c r="D7" s="98"/>
      <c r="E7" s="98"/>
      <c r="F7" s="98"/>
      <c r="G7" s="98"/>
      <c r="H7" s="98"/>
      <c r="I7" s="98"/>
    </row>
    <row r="8" spans="1:9">
      <c r="A8" s="100" t="s">
        <v>176</v>
      </c>
      <c r="B8" s="204"/>
      <c r="C8" s="204"/>
      <c r="D8" s="204"/>
      <c r="E8" s="204"/>
      <c r="F8" s="204"/>
      <c r="G8" s="204"/>
      <c r="H8" s="204"/>
      <c r="I8" s="204"/>
    </row>
    <row r="9" spans="1:9">
      <c r="A9" s="98" t="str">
        <f>'10.Grain Production details'!A92</f>
        <v>Soybean</v>
      </c>
      <c r="B9" s="204"/>
      <c r="C9" s="204">
        <f>'10.Grain Production details'!B92</f>
        <v>539.7600000000001</v>
      </c>
      <c r="D9" s="204">
        <f>'10.Grain Production details'!C92</f>
        <v>581.28000000000009</v>
      </c>
      <c r="E9" s="204">
        <f>'10.Grain Production details'!D92</f>
        <v>622.80000000000018</v>
      </c>
      <c r="F9" s="204">
        <f>'10.Grain Production details'!E92</f>
        <v>664.32000000000016</v>
      </c>
      <c r="G9" s="204">
        <f>'10.Grain Production details'!F92</f>
        <v>705.84000000000026</v>
      </c>
      <c r="H9" s="204">
        <f>'10.Grain Production details'!G92</f>
        <v>747.36000000000024</v>
      </c>
      <c r="I9" s="204">
        <f>'10.Grain Production details'!H92</f>
        <v>788.88000000000034</v>
      </c>
    </row>
    <row r="10" spans="1:9">
      <c r="A10" s="98" t="str">
        <f>'10.Grain Production details'!A93</f>
        <v>Tur</v>
      </c>
      <c r="B10" s="204"/>
      <c r="C10" s="204">
        <f>'10.Grain Production details'!B93</f>
        <v>67.470000000000013</v>
      </c>
      <c r="D10" s="204">
        <f>'10.Grain Production details'!C93</f>
        <v>72.660000000000011</v>
      </c>
      <c r="E10" s="204">
        <f>'10.Grain Production details'!D93</f>
        <v>77.850000000000023</v>
      </c>
      <c r="F10" s="204">
        <f>'10.Grain Production details'!E93</f>
        <v>83.04000000000002</v>
      </c>
      <c r="G10" s="204">
        <f>'10.Grain Production details'!F93</f>
        <v>88.230000000000032</v>
      </c>
      <c r="H10" s="204">
        <f>'10.Grain Production details'!G93</f>
        <v>93.42000000000003</v>
      </c>
      <c r="I10" s="204">
        <f>'10.Grain Production details'!H93</f>
        <v>98.610000000000042</v>
      </c>
    </row>
    <row r="11" spans="1:9">
      <c r="A11" s="98" t="str">
        <f>'10.Grain Production details'!A94</f>
        <v>Turmeric</v>
      </c>
      <c r="B11" s="204"/>
      <c r="C11" s="204">
        <f>'10.Grain Production details'!B94</f>
        <v>539.7600000000001</v>
      </c>
      <c r="D11" s="204">
        <f>'10.Grain Production details'!C94</f>
        <v>581.28000000000009</v>
      </c>
      <c r="E11" s="204">
        <f>'10.Grain Production details'!D94</f>
        <v>622.80000000000018</v>
      </c>
      <c r="F11" s="204">
        <f>'10.Grain Production details'!E94</f>
        <v>664.32000000000016</v>
      </c>
      <c r="G11" s="204">
        <f>'10.Grain Production details'!F94</f>
        <v>705.84000000000026</v>
      </c>
      <c r="H11" s="204">
        <f>'10.Grain Production details'!G94</f>
        <v>747.36000000000024</v>
      </c>
      <c r="I11" s="204">
        <f>'10.Grain Production details'!H94</f>
        <v>788.88000000000034</v>
      </c>
    </row>
    <row r="12" spans="1:9">
      <c r="A12" s="98" t="str">
        <f>'10.Grain Production details'!A95</f>
        <v>Moong</v>
      </c>
      <c r="B12" s="204"/>
      <c r="C12" s="204">
        <f>'10.Grain Production details'!B95</f>
        <v>67.470000000000013</v>
      </c>
      <c r="D12" s="204">
        <f>'10.Grain Production details'!C95</f>
        <v>72.660000000000011</v>
      </c>
      <c r="E12" s="204">
        <f>'10.Grain Production details'!D95</f>
        <v>77.850000000000023</v>
      </c>
      <c r="F12" s="204">
        <f>'10.Grain Production details'!E95</f>
        <v>83.04000000000002</v>
      </c>
      <c r="G12" s="204">
        <f>'10.Grain Production details'!F95</f>
        <v>88.230000000000032</v>
      </c>
      <c r="H12" s="204">
        <f>'10.Grain Production details'!G95</f>
        <v>93.42000000000003</v>
      </c>
      <c r="I12" s="204">
        <f>'10.Grain Production details'!H95</f>
        <v>98.610000000000042</v>
      </c>
    </row>
    <row r="13" spans="1:9">
      <c r="A13" s="98" t="str">
        <f>'10.Grain Production details'!A96</f>
        <v>Maize</v>
      </c>
      <c r="B13" s="204"/>
      <c r="C13" s="204">
        <f>'10.Grain Production details'!B96</f>
        <v>0</v>
      </c>
      <c r="D13" s="204">
        <f>'10.Grain Production details'!C96</f>
        <v>0</v>
      </c>
      <c r="E13" s="204">
        <f>'10.Grain Production details'!D96</f>
        <v>0</v>
      </c>
      <c r="F13" s="204">
        <f>'10.Grain Production details'!E96</f>
        <v>0</v>
      </c>
      <c r="G13" s="204">
        <f>'10.Grain Production details'!F96</f>
        <v>0</v>
      </c>
      <c r="H13" s="204">
        <f>'10.Grain Production details'!G96</f>
        <v>0</v>
      </c>
      <c r="I13" s="204">
        <f>'10.Grain Production details'!H96</f>
        <v>0</v>
      </c>
    </row>
    <row r="14" spans="1:9">
      <c r="A14" s="98" t="str">
        <f>'10.Grain Production details'!A97</f>
        <v>Udid</v>
      </c>
      <c r="B14" s="204"/>
      <c r="C14" s="204">
        <f>'10.Grain Production details'!B97</f>
        <v>67.470000000000013</v>
      </c>
      <c r="D14" s="204">
        <f>'10.Grain Production details'!C97</f>
        <v>72.660000000000011</v>
      </c>
      <c r="E14" s="204">
        <f>'10.Grain Production details'!D97</f>
        <v>77.850000000000023</v>
      </c>
      <c r="F14" s="204">
        <f>'10.Grain Production details'!E97</f>
        <v>83.04000000000002</v>
      </c>
      <c r="G14" s="204">
        <f>'10.Grain Production details'!F97</f>
        <v>88.230000000000032</v>
      </c>
      <c r="H14" s="204">
        <f>'10.Grain Production details'!G97</f>
        <v>93.42000000000003</v>
      </c>
      <c r="I14" s="204">
        <f>'10.Grain Production details'!H97</f>
        <v>98.610000000000042</v>
      </c>
    </row>
    <row r="15" spans="1:9">
      <c r="A15" s="98" t="str">
        <f>'10.Grain Production details'!A98</f>
        <v>Bajra</v>
      </c>
      <c r="B15" s="204"/>
      <c r="C15" s="204">
        <f>'10.Grain Production details'!B98</f>
        <v>0</v>
      </c>
      <c r="D15" s="204">
        <f>'10.Grain Production details'!C98</f>
        <v>0</v>
      </c>
      <c r="E15" s="204">
        <f>'10.Grain Production details'!D98</f>
        <v>0</v>
      </c>
      <c r="F15" s="204">
        <f>'10.Grain Production details'!E98</f>
        <v>0</v>
      </c>
      <c r="G15" s="204">
        <f>'10.Grain Production details'!F98</f>
        <v>0</v>
      </c>
      <c r="H15" s="204">
        <f>'10.Grain Production details'!G98</f>
        <v>0</v>
      </c>
      <c r="I15" s="204">
        <f>'10.Grain Production details'!H98</f>
        <v>0</v>
      </c>
    </row>
    <row r="16" spans="1:9">
      <c r="A16" s="98" t="str">
        <f>'10.Grain Production details'!A99</f>
        <v>Jawar</v>
      </c>
      <c r="B16" s="204"/>
      <c r="C16" s="204">
        <f>'10.Grain Production details'!B99</f>
        <v>67.470000000000013</v>
      </c>
      <c r="D16" s="204">
        <f>'10.Grain Production details'!C99</f>
        <v>72.660000000000011</v>
      </c>
      <c r="E16" s="204">
        <f>'10.Grain Production details'!D99</f>
        <v>77.850000000000023</v>
      </c>
      <c r="F16" s="204">
        <f>'10.Grain Production details'!E99</f>
        <v>83.04000000000002</v>
      </c>
      <c r="G16" s="204">
        <f>'10.Grain Production details'!F99</f>
        <v>88.230000000000032</v>
      </c>
      <c r="H16" s="204">
        <f>'10.Grain Production details'!G99</f>
        <v>93.42000000000003</v>
      </c>
      <c r="I16" s="204">
        <f>'10.Grain Production details'!H99</f>
        <v>98.610000000000042</v>
      </c>
    </row>
    <row r="17" spans="1:9">
      <c r="A17" s="100" t="s">
        <v>180</v>
      </c>
      <c r="B17" s="204"/>
      <c r="C17" s="204"/>
      <c r="D17" s="204"/>
      <c r="E17" s="204"/>
      <c r="F17" s="204"/>
      <c r="G17" s="204"/>
      <c r="H17" s="204"/>
      <c r="I17" s="204"/>
    </row>
    <row r="18" spans="1:9">
      <c r="A18" s="98" t="str">
        <f>'10.Grain Production details'!A101</f>
        <v>Wheat</v>
      </c>
      <c r="B18" s="204"/>
      <c r="C18" s="204">
        <f>'10.Grain Production details'!B101</f>
        <v>121.44599999999998</v>
      </c>
      <c r="D18" s="204">
        <f>'10.Grain Production details'!C101</f>
        <v>130.78799999999998</v>
      </c>
      <c r="E18" s="204">
        <f>'10.Grain Production details'!D101</f>
        <v>140.12999999999997</v>
      </c>
      <c r="F18" s="204">
        <f>'10.Grain Production details'!E101</f>
        <v>149.47199999999995</v>
      </c>
      <c r="G18" s="204">
        <f>'10.Grain Production details'!F101</f>
        <v>158.81399999999994</v>
      </c>
      <c r="H18" s="204">
        <f>'10.Grain Production details'!G101</f>
        <v>168.15599999999995</v>
      </c>
      <c r="I18" s="204">
        <f>'10.Grain Production details'!H101</f>
        <v>177.49799999999996</v>
      </c>
    </row>
    <row r="19" spans="1:9">
      <c r="A19" s="98" t="str">
        <f>'10.Grain Production details'!A102</f>
        <v>Channa</v>
      </c>
      <c r="B19" s="204"/>
      <c r="C19" s="204">
        <f>'10.Grain Production details'!B102</f>
        <v>566.74799999999993</v>
      </c>
      <c r="D19" s="204">
        <f>'10.Grain Production details'!C102</f>
        <v>610.34399999999994</v>
      </c>
      <c r="E19" s="204">
        <f>'10.Grain Production details'!D102</f>
        <v>653.93999999999994</v>
      </c>
      <c r="F19" s="204">
        <f>'10.Grain Production details'!E102</f>
        <v>697.53600000000006</v>
      </c>
      <c r="G19" s="204">
        <f>'10.Grain Production details'!F102</f>
        <v>741.13200000000018</v>
      </c>
      <c r="H19" s="204">
        <f>'10.Grain Production details'!G102</f>
        <v>784.72800000000018</v>
      </c>
      <c r="I19" s="204">
        <f>'10.Grain Production details'!H102</f>
        <v>828.32400000000018</v>
      </c>
    </row>
    <row r="20" spans="1:9">
      <c r="A20" s="98" t="str">
        <f>'10.Grain Production details'!A103</f>
        <v>Jawar</v>
      </c>
      <c r="B20" s="204"/>
      <c r="C20" s="204">
        <f>'10.Grain Production details'!B103</f>
        <v>80.963999999999999</v>
      </c>
      <c r="D20" s="204">
        <f>'10.Grain Production details'!C103</f>
        <v>87.191999999999993</v>
      </c>
      <c r="E20" s="204">
        <f>'10.Grain Production details'!D103</f>
        <v>93.419999999999987</v>
      </c>
      <c r="F20" s="204">
        <f>'10.Grain Production details'!E103</f>
        <v>99.647999999999982</v>
      </c>
      <c r="G20" s="204">
        <f>'10.Grain Production details'!F103</f>
        <v>105.87599999999999</v>
      </c>
      <c r="H20" s="204">
        <f>'10.Grain Production details'!G103</f>
        <v>112.104</v>
      </c>
      <c r="I20" s="204">
        <f>'10.Grain Production details'!H103</f>
        <v>118.33199999999999</v>
      </c>
    </row>
    <row r="21" spans="1:9">
      <c r="A21" s="98" t="str">
        <f>'10.Grain Production details'!A104</f>
        <v>Maize</v>
      </c>
      <c r="B21" s="204"/>
      <c r="C21" s="204">
        <f>'10.Grain Production details'!B104</f>
        <v>0</v>
      </c>
      <c r="D21" s="204">
        <f>'10.Grain Production details'!C104</f>
        <v>0</v>
      </c>
      <c r="E21" s="204">
        <f>'10.Grain Production details'!D104</f>
        <v>0</v>
      </c>
      <c r="F21" s="204">
        <f>'10.Grain Production details'!E104</f>
        <v>0</v>
      </c>
      <c r="G21" s="204">
        <f>'10.Grain Production details'!F104</f>
        <v>0</v>
      </c>
      <c r="H21" s="204">
        <f>'10.Grain Production details'!G104</f>
        <v>0</v>
      </c>
      <c r="I21" s="204">
        <f>'10.Grain Production details'!H104</f>
        <v>0</v>
      </c>
    </row>
    <row r="22" spans="1:9">
      <c r="A22" s="98" t="str">
        <f>'10.Grain Production details'!A105</f>
        <v>Safflower</v>
      </c>
      <c r="B22" s="204"/>
      <c r="C22" s="204">
        <f>'10.Grain Production details'!B105</f>
        <v>0</v>
      </c>
      <c r="D22" s="204">
        <f>'10.Grain Production details'!C105</f>
        <v>0</v>
      </c>
      <c r="E22" s="204">
        <f>'10.Grain Production details'!D105</f>
        <v>0</v>
      </c>
      <c r="F22" s="204">
        <f>'10.Grain Production details'!E105</f>
        <v>0</v>
      </c>
      <c r="G22" s="204">
        <f>'10.Grain Production details'!F105</f>
        <v>0</v>
      </c>
      <c r="H22" s="204">
        <f>'10.Grain Production details'!G105</f>
        <v>0</v>
      </c>
      <c r="I22" s="204">
        <f>'10.Grain Production details'!H105</f>
        <v>0</v>
      </c>
    </row>
    <row r="23" spans="1:9">
      <c r="A23" s="98" t="str">
        <f>'10.Grain Production details'!A106</f>
        <v>Groundnut</v>
      </c>
      <c r="B23" s="204"/>
      <c r="C23" s="204">
        <f>'10.Grain Production details'!B106</f>
        <v>40.481999999999999</v>
      </c>
      <c r="D23" s="204">
        <f>'10.Grain Production details'!C106</f>
        <v>43.595999999999997</v>
      </c>
      <c r="E23" s="204">
        <f>'10.Grain Production details'!D106</f>
        <v>46.709999999999994</v>
      </c>
      <c r="F23" s="204">
        <f>'10.Grain Production details'!E106</f>
        <v>49.823999999999991</v>
      </c>
      <c r="G23" s="204">
        <f>'10.Grain Production details'!F106</f>
        <v>52.937999999999995</v>
      </c>
      <c r="H23" s="204">
        <f>'10.Grain Production details'!G106</f>
        <v>56.052</v>
      </c>
      <c r="I23" s="204">
        <f>'10.Grain Production details'!H106</f>
        <v>59.165999999999997</v>
      </c>
    </row>
    <row r="24" spans="1:9">
      <c r="A24" s="98">
        <f>'10.Grain Production details'!A107</f>
        <v>0</v>
      </c>
      <c r="B24" s="204"/>
      <c r="C24" s="204">
        <f>'10.Grain Production details'!B107</f>
        <v>0</v>
      </c>
      <c r="D24" s="204">
        <f>'10.Grain Production details'!C107</f>
        <v>0</v>
      </c>
      <c r="E24" s="204">
        <f>'10.Grain Production details'!D107</f>
        <v>0</v>
      </c>
      <c r="F24" s="204">
        <f>'10.Grain Production details'!E107</f>
        <v>0</v>
      </c>
      <c r="G24" s="204">
        <f>'10.Grain Production details'!F107</f>
        <v>0</v>
      </c>
      <c r="H24" s="204">
        <f>'10.Grain Production details'!G107</f>
        <v>0</v>
      </c>
      <c r="I24" s="204">
        <f>'10.Grain Production details'!H107</f>
        <v>0</v>
      </c>
    </row>
    <row r="25" spans="1:9">
      <c r="A25" s="98">
        <f>'10.Grain Production details'!A108</f>
        <v>0</v>
      </c>
      <c r="B25" s="204"/>
      <c r="C25" s="204">
        <f>'10.Grain Production details'!B108</f>
        <v>0</v>
      </c>
      <c r="D25" s="204">
        <f>'10.Grain Production details'!C108</f>
        <v>0</v>
      </c>
      <c r="E25" s="204">
        <f>'10.Grain Production details'!D108</f>
        <v>0</v>
      </c>
      <c r="F25" s="204">
        <f>'10.Grain Production details'!E108</f>
        <v>0</v>
      </c>
      <c r="G25" s="204">
        <f>'10.Grain Production details'!F108</f>
        <v>0</v>
      </c>
      <c r="H25" s="204">
        <f>'10.Grain Production details'!G108</f>
        <v>0</v>
      </c>
      <c r="I25" s="204">
        <f>'10.Grain Production details'!H108</f>
        <v>0</v>
      </c>
    </row>
    <row r="26" spans="1:9">
      <c r="A26" s="100" t="str">
        <f>'10.Grain Production details'!A33</f>
        <v>Summer</v>
      </c>
      <c r="B26" s="204"/>
      <c r="C26" s="204"/>
      <c r="D26" s="204"/>
      <c r="E26" s="204"/>
      <c r="F26" s="204"/>
      <c r="G26" s="204"/>
      <c r="H26" s="204"/>
      <c r="I26" s="204"/>
    </row>
    <row r="27" spans="1:9">
      <c r="A27" s="98" t="str">
        <f>'10.Grain Production details'!A109</f>
        <v>Soybean</v>
      </c>
      <c r="B27" s="204"/>
      <c r="C27" s="204">
        <f>'10.Grain Production details'!B110</f>
        <v>0</v>
      </c>
      <c r="D27" s="204">
        <f>'10.Grain Production details'!C110</f>
        <v>0</v>
      </c>
      <c r="E27" s="204">
        <f>'10.Grain Production details'!D110</f>
        <v>0</v>
      </c>
      <c r="F27" s="204">
        <f>'10.Grain Production details'!E110</f>
        <v>0</v>
      </c>
      <c r="G27" s="204">
        <f>'10.Grain Production details'!F110</f>
        <v>0</v>
      </c>
      <c r="H27" s="204">
        <f>'10.Grain Production details'!G110</f>
        <v>0</v>
      </c>
      <c r="I27" s="204">
        <f>'10.Grain Production details'!H110</f>
        <v>0</v>
      </c>
    </row>
    <row r="28" spans="1:9">
      <c r="A28" s="98">
        <f>'10.Grain Production details'!A110</f>
        <v>0</v>
      </c>
      <c r="B28" s="204"/>
      <c r="C28" s="204">
        <f>'10.Grain Production details'!B111</f>
        <v>0</v>
      </c>
      <c r="D28" s="204">
        <f>'10.Grain Production details'!C111</f>
        <v>0</v>
      </c>
      <c r="E28" s="204">
        <f>'10.Grain Production details'!D111</f>
        <v>0</v>
      </c>
      <c r="F28" s="204">
        <f>'10.Grain Production details'!E111</f>
        <v>0</v>
      </c>
      <c r="G28" s="204">
        <f>'10.Grain Production details'!F111</f>
        <v>0</v>
      </c>
      <c r="H28" s="204">
        <f>'10.Grain Production details'!G111</f>
        <v>0</v>
      </c>
      <c r="I28" s="204">
        <f>'10.Grain Production details'!H111</f>
        <v>0</v>
      </c>
    </row>
    <row r="29" spans="1:9">
      <c r="A29" s="98">
        <f>'10.Grain Production details'!A111</f>
        <v>0</v>
      </c>
      <c r="B29" s="204"/>
      <c r="C29" s="204">
        <f>'10.Grain Production details'!B112</f>
        <v>0</v>
      </c>
      <c r="D29" s="204">
        <f>'10.Grain Production details'!C112</f>
        <v>0</v>
      </c>
      <c r="E29" s="204">
        <f>'10.Grain Production details'!D112</f>
        <v>0</v>
      </c>
      <c r="F29" s="204">
        <f>'10.Grain Production details'!E112</f>
        <v>0</v>
      </c>
      <c r="G29" s="204">
        <f>'10.Grain Production details'!F112</f>
        <v>0</v>
      </c>
      <c r="H29" s="204">
        <f>'10.Grain Production details'!G112</f>
        <v>0</v>
      </c>
      <c r="I29" s="204">
        <f>'10.Grain Production details'!H112</f>
        <v>0</v>
      </c>
    </row>
    <row r="30" spans="1:9">
      <c r="A30" s="98">
        <f>'10.Grain Production details'!A112</f>
        <v>0</v>
      </c>
      <c r="B30" s="204"/>
      <c r="C30" s="204">
        <f>'10.Grain Production details'!B113</f>
        <v>0</v>
      </c>
      <c r="D30" s="204">
        <f>'10.Grain Production details'!C113</f>
        <v>0</v>
      </c>
      <c r="E30" s="204">
        <f>'10.Grain Production details'!D113</f>
        <v>0</v>
      </c>
      <c r="F30" s="204">
        <f>'10.Grain Production details'!E113</f>
        <v>0</v>
      </c>
      <c r="G30" s="204">
        <f>'10.Grain Production details'!F113</f>
        <v>0</v>
      </c>
      <c r="H30" s="204">
        <f>'10.Grain Production details'!G113</f>
        <v>0</v>
      </c>
      <c r="I30" s="204">
        <f>'10.Grain Production details'!H113</f>
        <v>0</v>
      </c>
    </row>
    <row r="31" spans="1:9">
      <c r="A31" s="98">
        <f>'10.Grain Production details'!A113</f>
        <v>0</v>
      </c>
      <c r="B31" s="204"/>
      <c r="C31" s="204">
        <f>'10.Grain Production details'!C114</f>
        <v>0</v>
      </c>
      <c r="D31" s="204">
        <f>'10.Grain Production details'!D114</f>
        <v>0</v>
      </c>
      <c r="E31" s="204">
        <f>'10.Grain Production details'!E114</f>
        <v>0</v>
      </c>
      <c r="F31" s="204">
        <f>'10.Grain Production details'!F114</f>
        <v>0</v>
      </c>
      <c r="G31" s="204">
        <f>'10.Grain Production details'!G114</f>
        <v>0</v>
      </c>
      <c r="H31" s="204">
        <f>'10.Grain Production details'!H114</f>
        <v>0</v>
      </c>
      <c r="I31" s="204">
        <f>'10.Grain Production details'!I114</f>
        <v>0</v>
      </c>
    </row>
    <row r="32" spans="1:9">
      <c r="A32" s="100" t="str">
        <f>'11.F&amp;V Crop Production details'!A1:H1</f>
        <v>Fruit  &amp; Vegetables Crop Production Details</v>
      </c>
      <c r="B32" s="204"/>
      <c r="C32" s="204"/>
      <c r="D32" s="204"/>
      <c r="E32" s="204"/>
      <c r="F32" s="204"/>
      <c r="G32" s="204"/>
      <c r="H32" s="204"/>
      <c r="I32" s="204"/>
    </row>
    <row r="33" spans="1:9">
      <c r="A33" s="98" t="str">
        <f>'11.F&amp;V Crop Production details'!A102</f>
        <v>Onion</v>
      </c>
      <c r="B33" s="204"/>
      <c r="C33" s="204">
        <f>'11.F&amp;V Crop Production details'!B102</f>
        <v>0</v>
      </c>
      <c r="D33" s="204">
        <f>'11.F&amp;V Crop Production details'!C102</f>
        <v>0</v>
      </c>
      <c r="E33" s="204">
        <f>'11.F&amp;V Crop Production details'!D102</f>
        <v>0</v>
      </c>
      <c r="F33" s="204">
        <f>'11.F&amp;V Crop Production details'!E102</f>
        <v>0</v>
      </c>
      <c r="G33" s="204">
        <f>'11.F&amp;V Crop Production details'!F102</f>
        <v>0</v>
      </c>
      <c r="H33" s="204">
        <f>'11.F&amp;V Crop Production details'!G102</f>
        <v>0</v>
      </c>
      <c r="I33" s="204">
        <f>'11.F&amp;V Crop Production details'!H102</f>
        <v>0</v>
      </c>
    </row>
    <row r="34" spans="1:9">
      <c r="A34" s="98" t="str">
        <f>'11.F&amp;V Crop Production details'!A103</f>
        <v>Tomato</v>
      </c>
      <c r="B34" s="204"/>
      <c r="C34" s="204">
        <f>'11.F&amp;V Crop Production details'!B103</f>
        <v>0</v>
      </c>
      <c r="D34" s="204">
        <f>'11.F&amp;V Crop Production details'!C103</f>
        <v>0</v>
      </c>
      <c r="E34" s="204">
        <f>'11.F&amp;V Crop Production details'!D103</f>
        <v>0</v>
      </c>
      <c r="F34" s="204">
        <f>'11.F&amp;V Crop Production details'!E103</f>
        <v>0</v>
      </c>
      <c r="G34" s="204">
        <f>'11.F&amp;V Crop Production details'!F103</f>
        <v>0</v>
      </c>
      <c r="H34" s="204">
        <f>'11.F&amp;V Crop Production details'!G103</f>
        <v>0</v>
      </c>
      <c r="I34" s="204">
        <f>'11.F&amp;V Crop Production details'!H103</f>
        <v>0</v>
      </c>
    </row>
    <row r="35" spans="1:9">
      <c r="A35" s="98" t="str">
        <f>'11.F&amp;V Crop Production details'!A104</f>
        <v>Okra</v>
      </c>
      <c r="B35" s="204"/>
      <c r="C35" s="204">
        <f>'11.F&amp;V Crop Production details'!B104</f>
        <v>0</v>
      </c>
      <c r="D35" s="204">
        <f>'11.F&amp;V Crop Production details'!C104</f>
        <v>0</v>
      </c>
      <c r="E35" s="204">
        <f>'11.F&amp;V Crop Production details'!D104</f>
        <v>0</v>
      </c>
      <c r="F35" s="204">
        <f>'11.F&amp;V Crop Production details'!E104</f>
        <v>0</v>
      </c>
      <c r="G35" s="204">
        <f>'11.F&amp;V Crop Production details'!F104</f>
        <v>0</v>
      </c>
      <c r="H35" s="204">
        <f>'11.F&amp;V Crop Production details'!G104</f>
        <v>0</v>
      </c>
      <c r="I35" s="204">
        <f>'11.F&amp;V Crop Production details'!H104</f>
        <v>0</v>
      </c>
    </row>
    <row r="36" spans="1:9">
      <c r="A36" s="98" t="str">
        <f>'11.F&amp;V Crop Production details'!A105</f>
        <v>Chilli</v>
      </c>
      <c r="B36" s="204"/>
      <c r="C36" s="204">
        <f>'11.F&amp;V Crop Production details'!B105</f>
        <v>0</v>
      </c>
      <c r="D36" s="204">
        <f>'11.F&amp;V Crop Production details'!C105</f>
        <v>0</v>
      </c>
      <c r="E36" s="204">
        <f>'11.F&amp;V Crop Production details'!D105</f>
        <v>0</v>
      </c>
      <c r="F36" s="204">
        <f>'11.F&amp;V Crop Production details'!E105</f>
        <v>0</v>
      </c>
      <c r="G36" s="204">
        <f>'11.F&amp;V Crop Production details'!F105</f>
        <v>0</v>
      </c>
      <c r="H36" s="204">
        <f>'11.F&amp;V Crop Production details'!G105</f>
        <v>0</v>
      </c>
      <c r="I36" s="204">
        <f>'11.F&amp;V Crop Production details'!H105</f>
        <v>0</v>
      </c>
    </row>
    <row r="37" spans="1:9">
      <c r="A37" s="98" t="str">
        <f>'11.F&amp;V Crop Production details'!A106</f>
        <v>Potato</v>
      </c>
      <c r="B37" s="204"/>
      <c r="C37" s="204">
        <f>'11.F&amp;V Crop Production details'!B106</f>
        <v>0</v>
      </c>
      <c r="D37" s="204">
        <f>'11.F&amp;V Crop Production details'!C106</f>
        <v>0</v>
      </c>
      <c r="E37" s="204">
        <f>'11.F&amp;V Crop Production details'!D106</f>
        <v>0</v>
      </c>
      <c r="F37" s="204">
        <f>'11.F&amp;V Crop Production details'!E106</f>
        <v>0</v>
      </c>
      <c r="G37" s="204">
        <f>'11.F&amp;V Crop Production details'!F106</f>
        <v>0</v>
      </c>
      <c r="H37" s="204">
        <f>'11.F&amp;V Crop Production details'!G106</f>
        <v>0</v>
      </c>
      <c r="I37" s="204">
        <f>'11.F&amp;V Crop Production details'!H106</f>
        <v>0</v>
      </c>
    </row>
    <row r="38" spans="1:9">
      <c r="A38" s="98">
        <f>'11.F&amp;V Crop Production details'!A107</f>
        <v>0</v>
      </c>
      <c r="B38" s="204"/>
      <c r="C38" s="204">
        <f>'11.F&amp;V Crop Production details'!B107</f>
        <v>0</v>
      </c>
      <c r="D38" s="204">
        <f>'11.F&amp;V Crop Production details'!C107</f>
        <v>0</v>
      </c>
      <c r="E38" s="204">
        <f>'11.F&amp;V Crop Production details'!D107</f>
        <v>0</v>
      </c>
      <c r="F38" s="204">
        <f>'11.F&amp;V Crop Production details'!E107</f>
        <v>0</v>
      </c>
      <c r="G38" s="204">
        <f>'11.F&amp;V Crop Production details'!F107</f>
        <v>0</v>
      </c>
      <c r="H38" s="204">
        <f>'11.F&amp;V Crop Production details'!G107</f>
        <v>0</v>
      </c>
      <c r="I38" s="204">
        <f>'11.F&amp;V Crop Production details'!H107</f>
        <v>0</v>
      </c>
    </row>
    <row r="39" spans="1:9">
      <c r="A39" s="98">
        <f>'11.F&amp;V Crop Production details'!A108</f>
        <v>0</v>
      </c>
      <c r="B39" s="204"/>
      <c r="C39" s="204">
        <f>'11.F&amp;V Crop Production details'!B108</f>
        <v>0</v>
      </c>
      <c r="D39" s="204">
        <f>'11.F&amp;V Crop Production details'!C108</f>
        <v>0</v>
      </c>
      <c r="E39" s="204">
        <f>'11.F&amp;V Crop Production details'!D108</f>
        <v>0</v>
      </c>
      <c r="F39" s="204">
        <f>'11.F&amp;V Crop Production details'!E108</f>
        <v>0</v>
      </c>
      <c r="G39" s="204">
        <f>'11.F&amp;V Crop Production details'!F108</f>
        <v>0</v>
      </c>
      <c r="H39" s="204">
        <f>'11.F&amp;V Crop Production details'!G108</f>
        <v>0</v>
      </c>
      <c r="I39" s="204">
        <f>'11.F&amp;V Crop Production details'!H108</f>
        <v>0</v>
      </c>
    </row>
    <row r="40" spans="1:9">
      <c r="A40" s="98">
        <f>'11.F&amp;V Crop Production details'!A109</f>
        <v>0</v>
      </c>
      <c r="B40" s="204"/>
      <c r="C40" s="204">
        <f>'11.F&amp;V Crop Production details'!B109</f>
        <v>0</v>
      </c>
      <c r="D40" s="204">
        <f>'11.F&amp;V Crop Production details'!C109</f>
        <v>0</v>
      </c>
      <c r="E40" s="204">
        <f>'11.F&amp;V Crop Production details'!D109</f>
        <v>0</v>
      </c>
      <c r="F40" s="204">
        <f>'11.F&amp;V Crop Production details'!E109</f>
        <v>0</v>
      </c>
      <c r="G40" s="204">
        <f>'11.F&amp;V Crop Production details'!F109</f>
        <v>0</v>
      </c>
      <c r="H40" s="204">
        <f>'11.F&amp;V Crop Production details'!G109</f>
        <v>0</v>
      </c>
      <c r="I40" s="204">
        <f>'11.F&amp;V Crop Production details'!H109</f>
        <v>0</v>
      </c>
    </row>
    <row r="41" spans="1:9">
      <c r="A41" s="98">
        <f>'11.F&amp;V Crop Production details'!A110</f>
        <v>0</v>
      </c>
      <c r="B41" s="204"/>
      <c r="C41" s="204">
        <f>'11.F&amp;V Crop Production details'!B110</f>
        <v>0</v>
      </c>
      <c r="D41" s="204">
        <f>'11.F&amp;V Crop Production details'!C110</f>
        <v>0</v>
      </c>
      <c r="E41" s="204">
        <f>'11.F&amp;V Crop Production details'!D110</f>
        <v>0</v>
      </c>
      <c r="F41" s="204">
        <f>'11.F&amp;V Crop Production details'!E110</f>
        <v>0</v>
      </c>
      <c r="G41" s="204">
        <f>'11.F&amp;V Crop Production details'!F110</f>
        <v>0</v>
      </c>
      <c r="H41" s="204">
        <f>'11.F&amp;V Crop Production details'!G110</f>
        <v>0</v>
      </c>
      <c r="I41" s="204">
        <f>'11.F&amp;V Crop Production details'!H110</f>
        <v>0</v>
      </c>
    </row>
    <row r="42" spans="1:9">
      <c r="A42" s="98" t="str">
        <f>'11.F&amp;V Crop Production details'!A111</f>
        <v>Onion</v>
      </c>
      <c r="B42" s="204"/>
      <c r="C42" s="204">
        <f>'11.F&amp;V Crop Production details'!B111</f>
        <v>0</v>
      </c>
      <c r="D42" s="204">
        <f>'11.F&amp;V Crop Production details'!C111</f>
        <v>0</v>
      </c>
      <c r="E42" s="204">
        <f>'11.F&amp;V Crop Production details'!D111</f>
        <v>0</v>
      </c>
      <c r="F42" s="204">
        <f>'11.F&amp;V Crop Production details'!E111</f>
        <v>0</v>
      </c>
      <c r="G42" s="204">
        <f>'11.F&amp;V Crop Production details'!F111</f>
        <v>0</v>
      </c>
      <c r="H42" s="204">
        <f>'11.F&amp;V Crop Production details'!G111</f>
        <v>0</v>
      </c>
      <c r="I42" s="204">
        <f>'11.F&amp;V Crop Production details'!H111</f>
        <v>0</v>
      </c>
    </row>
    <row r="43" spans="1:9">
      <c r="A43" s="98" t="str">
        <f>'11.F&amp;V Crop Production details'!A112</f>
        <v>Tomato</v>
      </c>
      <c r="B43" s="204"/>
      <c r="C43" s="204">
        <f>'11.F&amp;V Crop Production details'!B112</f>
        <v>0</v>
      </c>
      <c r="D43" s="204">
        <f>'11.F&amp;V Crop Production details'!C112</f>
        <v>0</v>
      </c>
      <c r="E43" s="204">
        <f>'11.F&amp;V Crop Production details'!D112</f>
        <v>0</v>
      </c>
      <c r="F43" s="204">
        <f>'11.F&amp;V Crop Production details'!E112</f>
        <v>0</v>
      </c>
      <c r="G43" s="204">
        <f>'11.F&amp;V Crop Production details'!F112</f>
        <v>0</v>
      </c>
      <c r="H43" s="204">
        <f>'11.F&amp;V Crop Production details'!G112</f>
        <v>0</v>
      </c>
      <c r="I43" s="204">
        <f>'11.F&amp;V Crop Production details'!H112</f>
        <v>0</v>
      </c>
    </row>
    <row r="44" spans="1:9">
      <c r="A44" s="98" t="str">
        <f>'11.F&amp;V Crop Production details'!A113</f>
        <v>Okra</v>
      </c>
      <c r="B44" s="204"/>
      <c r="C44" s="204">
        <f>'11.F&amp;V Crop Production details'!B113</f>
        <v>0</v>
      </c>
      <c r="D44" s="204">
        <f>'11.F&amp;V Crop Production details'!C113</f>
        <v>0</v>
      </c>
      <c r="E44" s="204">
        <f>'11.F&amp;V Crop Production details'!D113</f>
        <v>0</v>
      </c>
      <c r="F44" s="204">
        <f>'11.F&amp;V Crop Production details'!E113</f>
        <v>0</v>
      </c>
      <c r="G44" s="204">
        <f>'11.F&amp;V Crop Production details'!F113</f>
        <v>0</v>
      </c>
      <c r="H44" s="204">
        <f>'11.F&amp;V Crop Production details'!G113</f>
        <v>0</v>
      </c>
      <c r="I44" s="204">
        <f>'11.F&amp;V Crop Production details'!H113</f>
        <v>0</v>
      </c>
    </row>
    <row r="45" spans="1:9">
      <c r="A45" s="98" t="str">
        <f>'11.F&amp;V Crop Production details'!A114</f>
        <v>Chilli</v>
      </c>
      <c r="B45" s="204"/>
      <c r="C45" s="204">
        <f>'11.F&amp;V Crop Production details'!B114</f>
        <v>0</v>
      </c>
      <c r="D45" s="204">
        <f>'11.F&amp;V Crop Production details'!C114</f>
        <v>0</v>
      </c>
      <c r="E45" s="204">
        <f>'11.F&amp;V Crop Production details'!D114</f>
        <v>0</v>
      </c>
      <c r="F45" s="204">
        <f>'11.F&amp;V Crop Production details'!E114</f>
        <v>0</v>
      </c>
      <c r="G45" s="204">
        <f>'11.F&amp;V Crop Production details'!F114</f>
        <v>0</v>
      </c>
      <c r="H45" s="204">
        <f>'11.F&amp;V Crop Production details'!G114</f>
        <v>0</v>
      </c>
      <c r="I45" s="204">
        <f>'11.F&amp;V Crop Production details'!H114</f>
        <v>0</v>
      </c>
    </row>
    <row r="46" spans="1:9">
      <c r="A46" s="98" t="str">
        <f>'11.F&amp;V Crop Production details'!A115</f>
        <v>Brinjal</v>
      </c>
      <c r="B46" s="204"/>
      <c r="C46" s="204">
        <f>'11.F&amp;V Crop Production details'!B115</f>
        <v>0</v>
      </c>
      <c r="D46" s="204">
        <f>'11.F&amp;V Crop Production details'!C115</f>
        <v>0</v>
      </c>
      <c r="E46" s="204">
        <f>'11.F&amp;V Crop Production details'!D115</f>
        <v>0</v>
      </c>
      <c r="F46" s="204">
        <f>'11.F&amp;V Crop Production details'!E115</f>
        <v>0</v>
      </c>
      <c r="G46" s="204">
        <f>'11.F&amp;V Crop Production details'!F115</f>
        <v>0</v>
      </c>
      <c r="H46" s="204">
        <f>'11.F&amp;V Crop Production details'!G115</f>
        <v>0</v>
      </c>
      <c r="I46" s="204">
        <f>'11.F&amp;V Crop Production details'!H115</f>
        <v>0</v>
      </c>
    </row>
    <row r="47" spans="1:9">
      <c r="A47" s="98">
        <f>'11.F&amp;V Crop Production details'!A116</f>
        <v>0</v>
      </c>
      <c r="B47" s="204"/>
      <c r="C47" s="204">
        <f>'11.F&amp;V Crop Production details'!B116</f>
        <v>0</v>
      </c>
      <c r="D47" s="204">
        <f>'11.F&amp;V Crop Production details'!C116</f>
        <v>0</v>
      </c>
      <c r="E47" s="204">
        <f>'11.F&amp;V Crop Production details'!D116</f>
        <v>0</v>
      </c>
      <c r="F47" s="204">
        <f>'11.F&amp;V Crop Production details'!E116</f>
        <v>0</v>
      </c>
      <c r="G47" s="204">
        <f>'11.F&amp;V Crop Production details'!F116</f>
        <v>0</v>
      </c>
      <c r="H47" s="204">
        <f>'11.F&amp;V Crop Production details'!G116</f>
        <v>0</v>
      </c>
      <c r="I47" s="204">
        <f>'11.F&amp;V Crop Production details'!H116</f>
        <v>0</v>
      </c>
    </row>
    <row r="48" spans="1:9">
      <c r="A48" s="98">
        <f>'11.F&amp;V Crop Production details'!A117</f>
        <v>0</v>
      </c>
      <c r="B48" s="204"/>
      <c r="C48" s="204">
        <f>'11.F&amp;V Crop Production details'!B117</f>
        <v>0</v>
      </c>
      <c r="D48" s="204">
        <f>'11.F&amp;V Crop Production details'!C117</f>
        <v>0</v>
      </c>
      <c r="E48" s="204">
        <f>'11.F&amp;V Crop Production details'!D117</f>
        <v>0</v>
      </c>
      <c r="F48" s="204">
        <f>'11.F&amp;V Crop Production details'!E117</f>
        <v>0</v>
      </c>
      <c r="G48" s="204">
        <f>'11.F&amp;V Crop Production details'!F117</f>
        <v>0</v>
      </c>
      <c r="H48" s="204">
        <f>'11.F&amp;V Crop Production details'!G117</f>
        <v>0</v>
      </c>
      <c r="I48" s="204">
        <f>'11.F&amp;V Crop Production details'!H117</f>
        <v>0</v>
      </c>
    </row>
    <row r="49" spans="1:9">
      <c r="A49" s="98">
        <f>'11.F&amp;V Crop Production details'!A118</f>
        <v>0</v>
      </c>
      <c r="B49" s="204"/>
      <c r="C49" s="204">
        <f>'11.F&amp;V Crop Production details'!B118</f>
        <v>0</v>
      </c>
      <c r="D49" s="204">
        <f>'11.F&amp;V Crop Production details'!C118</f>
        <v>0</v>
      </c>
      <c r="E49" s="204">
        <f>'11.F&amp;V Crop Production details'!D118</f>
        <v>0</v>
      </c>
      <c r="F49" s="204">
        <f>'11.F&amp;V Crop Production details'!E118</f>
        <v>0</v>
      </c>
      <c r="G49" s="204">
        <f>'11.F&amp;V Crop Production details'!F118</f>
        <v>0</v>
      </c>
      <c r="H49" s="204">
        <f>'11.F&amp;V Crop Production details'!G118</f>
        <v>0</v>
      </c>
      <c r="I49" s="204">
        <f>'11.F&amp;V Crop Production details'!H118</f>
        <v>0</v>
      </c>
    </row>
    <row r="50" spans="1:9">
      <c r="A50" s="98">
        <f>'11.F&amp;V Crop Production details'!A119</f>
        <v>0</v>
      </c>
      <c r="B50" s="204"/>
      <c r="C50" s="204">
        <f>'11.F&amp;V Crop Production details'!B119</f>
        <v>0</v>
      </c>
      <c r="D50" s="204">
        <f>'11.F&amp;V Crop Production details'!C119</f>
        <v>0</v>
      </c>
      <c r="E50" s="204">
        <f>'11.F&amp;V Crop Production details'!D119</f>
        <v>0</v>
      </c>
      <c r="F50" s="204">
        <f>'11.F&amp;V Crop Production details'!E119</f>
        <v>0</v>
      </c>
      <c r="G50" s="204">
        <f>'11.F&amp;V Crop Production details'!F119</f>
        <v>0</v>
      </c>
      <c r="H50" s="204">
        <f>'11.F&amp;V Crop Production details'!G119</f>
        <v>0</v>
      </c>
      <c r="I50" s="204">
        <f>'11.F&amp;V Crop Production details'!H119</f>
        <v>0</v>
      </c>
    </row>
    <row r="51" spans="1:9">
      <c r="A51" s="98">
        <f>'11.F&amp;V Crop Production details'!A120</f>
        <v>0</v>
      </c>
      <c r="B51" s="204"/>
      <c r="C51" s="204">
        <f>'11.F&amp;V Crop Production details'!B120</f>
        <v>0</v>
      </c>
      <c r="D51" s="204">
        <f>'11.F&amp;V Crop Production details'!C120</f>
        <v>0</v>
      </c>
      <c r="E51" s="204">
        <f>'11.F&amp;V Crop Production details'!D120</f>
        <v>0</v>
      </c>
      <c r="F51" s="204">
        <f>'11.F&amp;V Crop Production details'!E120</f>
        <v>0</v>
      </c>
      <c r="G51" s="204">
        <f>'11.F&amp;V Crop Production details'!F120</f>
        <v>0</v>
      </c>
      <c r="H51" s="204">
        <f>'11.F&amp;V Crop Production details'!G120</f>
        <v>0</v>
      </c>
      <c r="I51" s="204">
        <f>'11.F&amp;V Crop Production details'!H120</f>
        <v>0</v>
      </c>
    </row>
    <row r="52" spans="1:9">
      <c r="A52" s="98">
        <f>'11.F&amp;V Crop Production details'!A121</f>
        <v>0</v>
      </c>
      <c r="B52" s="204"/>
      <c r="C52" s="204">
        <f>'11.F&amp;V Crop Production details'!B121</f>
        <v>0</v>
      </c>
      <c r="D52" s="204">
        <f>'11.F&amp;V Crop Production details'!C121</f>
        <v>0</v>
      </c>
      <c r="E52" s="204">
        <f>'11.F&amp;V Crop Production details'!D121</f>
        <v>0</v>
      </c>
      <c r="F52" s="204">
        <f>'11.F&amp;V Crop Production details'!E121</f>
        <v>0</v>
      </c>
      <c r="G52" s="204">
        <f>'11.F&amp;V Crop Production details'!F121</f>
        <v>0</v>
      </c>
      <c r="H52" s="204">
        <f>'11.F&amp;V Crop Production details'!G121</f>
        <v>0</v>
      </c>
      <c r="I52" s="204">
        <f>'11.F&amp;V Crop Production details'!H121</f>
        <v>0</v>
      </c>
    </row>
    <row r="53" spans="1:9">
      <c r="A53" s="98">
        <f>'11.F&amp;V Crop Production details'!A122</f>
        <v>0</v>
      </c>
      <c r="B53" s="204"/>
      <c r="C53" s="204">
        <f>'11.F&amp;V Crop Production details'!B122</f>
        <v>0</v>
      </c>
      <c r="D53" s="204">
        <f>'11.F&amp;V Crop Production details'!C122</f>
        <v>0</v>
      </c>
      <c r="E53" s="204">
        <f>'11.F&amp;V Crop Production details'!D122</f>
        <v>0</v>
      </c>
      <c r="F53" s="204">
        <f>'11.F&amp;V Crop Production details'!E122</f>
        <v>0</v>
      </c>
      <c r="G53" s="204">
        <f>'11.F&amp;V Crop Production details'!F122</f>
        <v>0</v>
      </c>
      <c r="H53" s="204">
        <f>'11.F&amp;V Crop Production details'!G122</f>
        <v>0</v>
      </c>
      <c r="I53" s="204">
        <f>'11.F&amp;V Crop Production details'!H122</f>
        <v>0</v>
      </c>
    </row>
    <row r="54" spans="1:9">
      <c r="A54" s="98" t="str">
        <f>'11.F&amp;V Crop Production details'!A123</f>
        <v>Pomegranate</v>
      </c>
      <c r="B54" s="204"/>
      <c r="C54" s="204">
        <f>'11.F&amp;V Crop Production details'!B123</f>
        <v>0</v>
      </c>
      <c r="D54" s="204">
        <f>'11.F&amp;V Crop Production details'!C123</f>
        <v>0</v>
      </c>
      <c r="E54" s="204">
        <f>'11.F&amp;V Crop Production details'!D123</f>
        <v>0</v>
      </c>
      <c r="F54" s="204">
        <f>'11.F&amp;V Crop Production details'!E123</f>
        <v>0</v>
      </c>
      <c r="G54" s="204">
        <f>'11.F&amp;V Crop Production details'!F123</f>
        <v>0</v>
      </c>
      <c r="H54" s="204">
        <f>'11.F&amp;V Crop Production details'!G123</f>
        <v>0</v>
      </c>
      <c r="I54" s="204">
        <f>'11.F&amp;V Crop Production details'!H123</f>
        <v>0</v>
      </c>
    </row>
    <row r="55" spans="1:9">
      <c r="A55" s="98" t="str">
        <f>'11.F&amp;V Crop Production details'!A124</f>
        <v>Custard Apple</v>
      </c>
      <c r="B55" s="204"/>
      <c r="C55" s="204">
        <f>'11.F&amp;V Crop Production details'!B124</f>
        <v>0</v>
      </c>
      <c r="D55" s="204">
        <f>'11.F&amp;V Crop Production details'!C124</f>
        <v>0</v>
      </c>
      <c r="E55" s="204">
        <f>'11.F&amp;V Crop Production details'!D124</f>
        <v>0</v>
      </c>
      <c r="F55" s="204">
        <f>'11.F&amp;V Crop Production details'!E124</f>
        <v>0</v>
      </c>
      <c r="G55" s="204">
        <f>'11.F&amp;V Crop Production details'!F124</f>
        <v>0</v>
      </c>
      <c r="H55" s="204">
        <f>'11.F&amp;V Crop Production details'!G124</f>
        <v>0</v>
      </c>
      <c r="I55" s="204">
        <f>'11.F&amp;V Crop Production details'!H124</f>
        <v>0</v>
      </c>
    </row>
    <row r="56" spans="1:9">
      <c r="A56" s="98" t="str">
        <f>'11.F&amp;V Crop Production details'!A125</f>
        <v>Guava</v>
      </c>
      <c r="B56" s="204"/>
      <c r="C56" s="204">
        <f>'11.F&amp;V Crop Production details'!B125</f>
        <v>0</v>
      </c>
      <c r="D56" s="204">
        <f>'11.F&amp;V Crop Production details'!C125</f>
        <v>0</v>
      </c>
      <c r="E56" s="204">
        <f>'11.F&amp;V Crop Production details'!D125</f>
        <v>0</v>
      </c>
      <c r="F56" s="204">
        <f>'11.F&amp;V Crop Production details'!E125</f>
        <v>0</v>
      </c>
      <c r="G56" s="204">
        <f>'11.F&amp;V Crop Production details'!F125</f>
        <v>0</v>
      </c>
      <c r="H56" s="204">
        <f>'11.F&amp;V Crop Production details'!G125</f>
        <v>0</v>
      </c>
      <c r="I56" s="204">
        <f>'11.F&amp;V Crop Production details'!H125</f>
        <v>0</v>
      </c>
    </row>
    <row r="57" spans="1:9">
      <c r="A57" s="98" t="str">
        <f>'11.F&amp;V Crop Production details'!A126</f>
        <v>Citrus</v>
      </c>
      <c r="B57" s="204"/>
      <c r="C57" s="204">
        <f>'11.F&amp;V Crop Production details'!B126</f>
        <v>0</v>
      </c>
      <c r="D57" s="204">
        <f>'11.F&amp;V Crop Production details'!C126</f>
        <v>0</v>
      </c>
      <c r="E57" s="204">
        <f>'11.F&amp;V Crop Production details'!D126</f>
        <v>0</v>
      </c>
      <c r="F57" s="204">
        <f>'11.F&amp;V Crop Production details'!E126</f>
        <v>0</v>
      </c>
      <c r="G57" s="204">
        <f>'11.F&amp;V Crop Production details'!F126</f>
        <v>0</v>
      </c>
      <c r="H57" s="204">
        <f>'11.F&amp;V Crop Production details'!G126</f>
        <v>0</v>
      </c>
      <c r="I57" s="204">
        <f>'11.F&amp;V Crop Production details'!H126</f>
        <v>0</v>
      </c>
    </row>
    <row r="58" spans="1:9">
      <c r="A58" s="98"/>
      <c r="B58" s="204"/>
      <c r="C58" s="204"/>
      <c r="D58" s="204"/>
      <c r="E58" s="204"/>
      <c r="F58" s="204"/>
      <c r="G58" s="204"/>
      <c r="H58" s="204"/>
      <c r="I58" s="204"/>
    </row>
    <row r="59" spans="1:9">
      <c r="A59" s="100" t="s">
        <v>181</v>
      </c>
      <c r="B59" s="98"/>
      <c r="C59" s="98"/>
      <c r="D59" s="98"/>
      <c r="E59" s="98"/>
      <c r="F59" s="98"/>
      <c r="G59" s="98"/>
      <c r="H59" s="98"/>
      <c r="I59" s="98"/>
    </row>
    <row r="60" spans="1:9">
      <c r="A60" s="100" t="s">
        <v>182</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9">
        <v>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Tur</v>
      </c>
      <c r="B63" s="229">
        <v>0</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Turmeric</v>
      </c>
      <c r="B64" s="229">
        <v>0</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Moong</v>
      </c>
      <c r="B65" s="229">
        <v>0</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9">
        <v>0</v>
      </c>
      <c r="C66" s="205">
        <f>$B66*C13</f>
        <v>0</v>
      </c>
      <c r="D66" s="205">
        <f t="shared" si="4"/>
        <v>0</v>
      </c>
      <c r="E66" s="205">
        <f t="shared" si="4"/>
        <v>0</v>
      </c>
      <c r="F66" s="205">
        <f t="shared" si="4"/>
        <v>0</v>
      </c>
      <c r="G66" s="205">
        <f t="shared" si="4"/>
        <v>0</v>
      </c>
      <c r="H66" s="205">
        <f t="shared" si="4"/>
        <v>0</v>
      </c>
      <c r="I66" s="205">
        <f t="shared" si="4"/>
        <v>0</v>
      </c>
    </row>
    <row r="67" spans="1:9">
      <c r="A67" s="98" t="str">
        <f t="shared" si="0"/>
        <v>Udid</v>
      </c>
      <c r="B67" s="229">
        <v>0</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9">
        <v>0</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9">
        <v>0</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9"/>
      <c r="C70" s="205"/>
      <c r="D70" s="205"/>
      <c r="E70" s="205"/>
      <c r="F70" s="205"/>
      <c r="G70" s="205"/>
      <c r="H70" s="205"/>
      <c r="I70" s="205"/>
    </row>
    <row r="71" spans="1:9">
      <c r="A71" s="98" t="str">
        <f t="shared" si="0"/>
        <v>Wheat</v>
      </c>
      <c r="B71" s="229">
        <v>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Channa</v>
      </c>
      <c r="B72" s="229">
        <v>0</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9">
        <v>0</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9">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9"/>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t="str">
        <f t="shared" si="0"/>
        <v>Groundnut</v>
      </c>
      <c r="B76" s="229"/>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9"/>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9"/>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9"/>
      <c r="C79" s="205"/>
      <c r="D79" s="205"/>
      <c r="E79" s="205"/>
      <c r="F79" s="205"/>
      <c r="G79" s="205"/>
      <c r="H79" s="205"/>
      <c r="I79" s="205"/>
    </row>
    <row r="80" spans="1:9">
      <c r="A80" s="98" t="str">
        <f t="shared" si="0"/>
        <v>Soybean</v>
      </c>
      <c r="B80" s="229"/>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f t="shared" si="0"/>
        <v>0</v>
      </c>
      <c r="B81" s="229"/>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9"/>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9"/>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9"/>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9"/>
      <c r="C85" s="205"/>
      <c r="D85" s="205"/>
      <c r="E85" s="205"/>
      <c r="F85" s="205"/>
      <c r="G85" s="205"/>
      <c r="H85" s="205"/>
      <c r="I85" s="205"/>
    </row>
    <row r="86" spans="1:9">
      <c r="A86" s="98" t="str">
        <f t="shared" si="0"/>
        <v>Onion</v>
      </c>
      <c r="B86" s="229"/>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9"/>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9"/>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9"/>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9"/>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9"/>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9"/>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9"/>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9"/>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9"/>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9"/>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9"/>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9"/>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9"/>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9"/>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9"/>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9"/>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9"/>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9"/>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9"/>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9"/>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9"/>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9"/>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9"/>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9"/>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9"/>
      <c r="C111" s="205"/>
      <c r="D111" s="205"/>
      <c r="E111" s="205"/>
      <c r="F111" s="205"/>
      <c r="G111" s="205"/>
      <c r="H111" s="205"/>
      <c r="I111" s="205"/>
    </row>
    <row r="112" spans="1:9">
      <c r="A112" s="98"/>
      <c r="B112" s="229"/>
      <c r="C112" s="205"/>
      <c r="D112" s="205"/>
      <c r="E112" s="205"/>
      <c r="F112" s="205"/>
      <c r="G112" s="205"/>
      <c r="H112" s="205"/>
      <c r="I112" s="205"/>
    </row>
    <row r="113" spans="1:23">
      <c r="A113" s="100" t="s">
        <v>183</v>
      </c>
      <c r="B113" s="98"/>
      <c r="C113" s="98"/>
      <c r="D113" s="98"/>
      <c r="E113" s="98"/>
      <c r="F113" s="98"/>
      <c r="G113" s="98"/>
      <c r="H113" s="98"/>
      <c r="I113" s="98"/>
    </row>
    <row r="114" spans="1:23">
      <c r="A114" s="98" t="s">
        <v>406</v>
      </c>
      <c r="B114" s="229">
        <v>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177</v>
      </c>
      <c r="B115" s="229">
        <v>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179</v>
      </c>
      <c r="B116" s="229">
        <v>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178</v>
      </c>
      <c r="B117" s="229"/>
      <c r="C117" s="98"/>
      <c r="D117" s="98"/>
      <c r="E117" s="98"/>
      <c r="F117" s="98"/>
      <c r="G117" s="98"/>
      <c r="H117" s="98"/>
      <c r="I117" s="98"/>
    </row>
    <row r="118" spans="1:23">
      <c r="A118" s="98" t="s">
        <v>184</v>
      </c>
      <c r="B118" s="229">
        <v>0</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185</v>
      </c>
      <c r="B119" s="229">
        <v>0</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14" t="s">
        <v>582</v>
      </c>
      <c r="B122" s="414"/>
      <c r="C122" s="414"/>
      <c r="D122" s="414"/>
      <c r="E122" s="414"/>
      <c r="F122" s="414"/>
      <c r="G122" s="414"/>
      <c r="H122" s="414"/>
      <c r="I122" s="414"/>
      <c r="J122" s="414"/>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132</v>
      </c>
      <c r="C126" s="147" t="s">
        <v>151</v>
      </c>
      <c r="D126" s="119" t="s">
        <v>2</v>
      </c>
      <c r="E126" s="119" t="s">
        <v>3</v>
      </c>
      <c r="F126" s="119" t="s">
        <v>4</v>
      </c>
      <c r="G126" s="119" t="s">
        <v>5</v>
      </c>
      <c r="H126" s="119" t="s">
        <v>6</v>
      </c>
      <c r="I126" s="119" t="s">
        <v>167</v>
      </c>
      <c r="J126" s="119" t="s">
        <v>166</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286</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9">
        <v>90</v>
      </c>
      <c r="D130" s="95">
        <f>(C62*(1-'5.Closing Stock &amp; W Capital'!$D$14))*$C$130*D$124</f>
        <v>0</v>
      </c>
      <c r="E130" s="95">
        <f>(D62*(1-'5.Closing Stock &amp; W Capital'!$D$14))*$C$130*E$124</f>
        <v>0</v>
      </c>
      <c r="F130" s="95">
        <f>(E62*(1-'5.Closing Stock &amp; W Capital'!$D$14))*$C$130*F$124</f>
        <v>0</v>
      </c>
      <c r="G130" s="95">
        <f>(F62*(1-'5.Closing Stock &amp; W Capital'!$D$14))*$C$130*G$124</f>
        <v>0</v>
      </c>
      <c r="H130" s="95">
        <f>(G62*(1-'5.Closing Stock &amp; W Capital'!$D$14))*$C$130*H$124</f>
        <v>0</v>
      </c>
      <c r="I130" s="95">
        <f>(H62*(1-'5.Closing Stock &amp; W Capital'!$D$14))*$C$130*I$124</f>
        <v>0</v>
      </c>
      <c r="J130" s="95">
        <f>(I62*(1-'5.Closing Stock &amp; W Capital'!$D$14))*$C$130*J$124</f>
        <v>0</v>
      </c>
      <c r="K130" s="93"/>
      <c r="U130" s="93"/>
      <c r="V130" s="93"/>
      <c r="W130" s="93"/>
    </row>
    <row r="131" spans="1:23">
      <c r="A131" s="94" t="str">
        <f t="shared" si="52"/>
        <v>Tur</v>
      </c>
      <c r="B131" s="94"/>
      <c r="C131" s="247">
        <v>80</v>
      </c>
      <c r="D131" s="95">
        <f>(C63*(1-'5.Closing Stock &amp; W Capital'!$D$14))*$C$131*D$124</f>
        <v>0</v>
      </c>
      <c r="E131" s="95">
        <f>((D63*(1-'5.Closing Stock &amp; W Capital'!$D$14))+(C63*'5.Closing Stock &amp; W Capital'!$D$14))*$C$131*E$124</f>
        <v>0</v>
      </c>
      <c r="F131" s="95">
        <f>((E63*(1-'5.Closing Stock &amp; W Capital'!$D$14))+(D63*'5.Closing Stock &amp; W Capital'!$D$14))*$C$131*F$124</f>
        <v>0</v>
      </c>
      <c r="G131" s="95">
        <f>((F63*(1-'5.Closing Stock &amp; W Capital'!$D$14))+(E63*'5.Closing Stock &amp; W Capital'!$D$14))*$C$131*G124</f>
        <v>0</v>
      </c>
      <c r="H131" s="95">
        <f>((G63*(1-'5.Closing Stock &amp; W Capital'!$D$14))+(F63*'5.Closing Stock &amp; W Capital'!$D$14))*$C$131*H124</f>
        <v>0</v>
      </c>
      <c r="I131" s="95">
        <f>((H63*(1-'5.Closing Stock &amp; W Capital'!$D$14))+(G63*'5.Closing Stock &amp; W Capital'!$D$14))*$C$131*I124</f>
        <v>0</v>
      </c>
      <c r="J131" s="95">
        <f>((I63*(1-'5.Closing Stock &amp; W Capital'!$D$14))+(H63*'5.Closing Stock &amp; W Capital'!$D$14))*$C$131*J124</f>
        <v>0</v>
      </c>
      <c r="K131" s="93"/>
      <c r="U131" s="178"/>
      <c r="V131" s="93"/>
      <c r="W131" s="93"/>
    </row>
    <row r="132" spans="1:23">
      <c r="A132" s="94" t="str">
        <f t="shared" si="52"/>
        <v>Turmeric</v>
      </c>
      <c r="B132" s="94"/>
      <c r="C132" s="247">
        <v>65</v>
      </c>
      <c r="D132" s="95">
        <f>(C64*(1-'5.Closing Stock &amp; W Capital'!$D$14))*$C$132*D$124</f>
        <v>0</v>
      </c>
      <c r="E132" s="95">
        <f>((D64*(1-'5.Closing Stock &amp; W Capital'!$D$14))+(C64*'5.Closing Stock &amp; W Capital'!$D$14))*$C$132*E$124</f>
        <v>0</v>
      </c>
      <c r="F132" s="95">
        <f>((E64*(1-'5.Closing Stock &amp; W Capital'!$D$14))+(D64*'5.Closing Stock &amp; W Capital'!$D$14))*$C$132*F$124</f>
        <v>0</v>
      </c>
      <c r="G132" s="95">
        <f>((F64*(1-'5.Closing Stock &amp; W Capital'!$D$14))+(E64*'5.Closing Stock &amp; W Capital'!$D$14))*$C$132*G124</f>
        <v>0</v>
      </c>
      <c r="H132" s="95">
        <f>((G64*(1-'5.Closing Stock &amp; W Capital'!$D$14))+(F64*'5.Closing Stock &amp; W Capital'!$D$14))*$C$132*H124</f>
        <v>0</v>
      </c>
      <c r="I132" s="95">
        <f>((H64*(1-'5.Closing Stock &amp; W Capital'!$D$14))+(G64*'5.Closing Stock &amp; W Capital'!$D$14))*$C$132*I124</f>
        <v>0</v>
      </c>
      <c r="J132" s="95">
        <f>((I64*(1-'5.Closing Stock &amp; W Capital'!$D$14))+(H64*'5.Closing Stock &amp; W Capital'!$D$14))*$C$132*J124</f>
        <v>0</v>
      </c>
      <c r="K132" s="93"/>
      <c r="U132" s="93"/>
      <c r="V132" s="93"/>
      <c r="W132" s="93"/>
    </row>
    <row r="133" spans="1:23">
      <c r="A133" s="94" t="str">
        <f t="shared" si="52"/>
        <v>Moong</v>
      </c>
      <c r="B133" s="94"/>
      <c r="C133" s="247">
        <v>85</v>
      </c>
      <c r="D133" s="95">
        <f>(C65*(1-'5.Closing Stock &amp; W Capital'!$D$14))*$C$133*D$124</f>
        <v>0</v>
      </c>
      <c r="E133" s="95">
        <f>((D65*(1-'5.Closing Stock &amp; W Capital'!$D$14))+(C65*'5.Closing Stock &amp; W Capital'!$D$14))*$C$133*E$124</f>
        <v>0</v>
      </c>
      <c r="F133" s="95">
        <f>((E65*(1-'5.Closing Stock &amp; W Capital'!$D$14))+(D65*'5.Closing Stock &amp; W Capital'!$D$14))*$C$133*F$124</f>
        <v>0</v>
      </c>
      <c r="G133" s="95">
        <f>((F65*(1-'5.Closing Stock &amp; W Capital'!$D$14))+(E65*'5.Closing Stock &amp; W Capital'!$D$14))*$C$133*G$124</f>
        <v>0</v>
      </c>
      <c r="H133" s="95">
        <f>((G65*(1-'5.Closing Stock &amp; W Capital'!$D$14))+(F65*'5.Closing Stock &amp; W Capital'!$D$14))*$C$133*H$124</f>
        <v>0</v>
      </c>
      <c r="I133" s="95">
        <f>((H65*(1-'5.Closing Stock &amp; W Capital'!$D$14))+(G65*'5.Closing Stock &amp; W Capital'!$D$14))*$C$133*I$124</f>
        <v>0</v>
      </c>
      <c r="J133" s="95">
        <f>((I65*(1-'5.Closing Stock &amp; W Capital'!$D$14))+(H65*'5.Closing Stock &amp; W Capital'!$D$14))*$C$133*J$124</f>
        <v>0</v>
      </c>
      <c r="K133" s="93"/>
      <c r="U133" s="93"/>
      <c r="V133" s="93"/>
      <c r="W133" s="93"/>
    </row>
    <row r="134" spans="1:23">
      <c r="A134" s="94" t="str">
        <f t="shared" si="52"/>
        <v>Maize</v>
      </c>
      <c r="B134" s="94"/>
      <c r="C134" s="247">
        <v>37</v>
      </c>
      <c r="D134" s="95">
        <f>(C66*(1-'5.Closing Stock &amp; W Capital'!$D$14))*$C$134*D$124</f>
        <v>0</v>
      </c>
      <c r="E134" s="95">
        <f>((D66*(1-'5.Closing Stock &amp; W Capital'!$D$14))+(C66*'5.Closing Stock &amp; W Capital'!$D$14))*$C$135*E$124</f>
        <v>0</v>
      </c>
      <c r="F134" s="95">
        <f>((E66*(1-'5.Closing Stock &amp; W Capital'!$D$14))+(D66*'5.Closing Stock &amp; W Capital'!$D$14))*$C$135*F$124</f>
        <v>0</v>
      </c>
      <c r="G134" s="95">
        <f>((F66*(1-'5.Closing Stock &amp; W Capital'!$D$14))+(E66*'5.Closing Stock &amp; W Capital'!$D$14))*$C$135*G$124</f>
        <v>0</v>
      </c>
      <c r="H134" s="95">
        <f>((G66*(1-'5.Closing Stock &amp; W Capital'!$D$14))+(F66*'5.Closing Stock &amp; W Capital'!$D$14))*$C$135*H$124</f>
        <v>0</v>
      </c>
      <c r="I134" s="95">
        <f>((H66*(1-'5.Closing Stock &amp; W Capital'!$D$14))+(G66*'5.Closing Stock &amp; W Capital'!$D$14))*$C$135*I$124</f>
        <v>0</v>
      </c>
      <c r="J134" s="95">
        <f>((I66*(1-'5.Closing Stock &amp; W Capital'!$D$14))+(H66*'5.Closing Stock &amp; W Capital'!$D$14))*$C$135*J$124</f>
        <v>0</v>
      </c>
      <c r="K134" s="93"/>
      <c r="U134" s="93"/>
      <c r="V134" s="93"/>
      <c r="W134" s="93"/>
    </row>
    <row r="135" spans="1:23">
      <c r="A135" s="94" t="str">
        <f t="shared" si="52"/>
        <v>Udid</v>
      </c>
      <c r="B135" s="94"/>
      <c r="C135" s="247">
        <v>75</v>
      </c>
      <c r="D135" s="95">
        <f>(C67*(1-'5.Closing Stock &amp; W Capital'!$D$14))*$C$135*D$124</f>
        <v>0</v>
      </c>
      <c r="E135" s="95">
        <f>((D67*(1-'5.Closing Stock &amp; W Capital'!$D$14))+(C67*'5.Closing Stock &amp; W Capital'!$D$14))*$C$135*E$124</f>
        <v>0</v>
      </c>
      <c r="F135" s="95">
        <f>((E67*(1-'5.Closing Stock &amp; W Capital'!$D$14))+(D67*'5.Closing Stock &amp; W Capital'!$D$14))*$C$135*F$124</f>
        <v>0</v>
      </c>
      <c r="G135" s="95">
        <f>((F67*(1-'5.Closing Stock &amp; W Capital'!$D$14))+(E67*'5.Closing Stock &amp; W Capital'!$D$14))*$C$135*G$124</f>
        <v>0</v>
      </c>
      <c r="H135" s="95">
        <f>((G67*(1-'5.Closing Stock &amp; W Capital'!$D$14))+(F67*'5.Closing Stock &amp; W Capital'!$D$14))*$C$135*H$124</f>
        <v>0</v>
      </c>
      <c r="I135" s="95">
        <f>((H67*(1-'5.Closing Stock &amp; W Capital'!$D$14))+(G67*'5.Closing Stock &amp; W Capital'!$D$14))*$C$135*I$124</f>
        <v>0</v>
      </c>
      <c r="J135" s="95">
        <f>((I67*(1-'5.Closing Stock &amp; W Capital'!$D$14))+(H67*'5.Closing Stock &amp; W Capital'!$D$14))*$C$135*J$124</f>
        <v>0</v>
      </c>
      <c r="K135" s="93"/>
      <c r="U135" s="93"/>
      <c r="V135" s="93"/>
      <c r="W135" s="93"/>
    </row>
    <row r="136" spans="1:23">
      <c r="A136" s="94" t="str">
        <f t="shared" si="52"/>
        <v>Bajra</v>
      </c>
      <c r="B136" s="94"/>
      <c r="C136" s="247">
        <v>30</v>
      </c>
      <c r="D136" s="95">
        <f>(C68*(1-'5.Closing Stock &amp; W Capital'!$D$14))*$C$136*D$124</f>
        <v>0</v>
      </c>
      <c r="E136" s="95">
        <f>((D68*(1-'5.Closing Stock &amp; W Capital'!$D$14))+(C68*'5.Closing Stock &amp; W Capital'!$D$14))*$C$136*E$124</f>
        <v>0</v>
      </c>
      <c r="F136" s="95">
        <f>((E68*(1-'5.Closing Stock &amp; W Capital'!$D$14))+(D68*'5.Closing Stock &amp; W Capital'!$D$14))*$C$136*F$124</f>
        <v>0</v>
      </c>
      <c r="G136" s="95">
        <f>((F68*(1-'5.Closing Stock &amp; W Capital'!$D$14))+(E68*'5.Closing Stock &amp; W Capital'!$D$14))*$C$136*G$124</f>
        <v>0</v>
      </c>
      <c r="H136" s="95">
        <f>((G68*(1-'5.Closing Stock &amp; W Capital'!$D$14))+(F68*'5.Closing Stock &amp; W Capital'!$D$14))*$C$136*H$124</f>
        <v>0</v>
      </c>
      <c r="I136" s="95">
        <f>((H68*(1-'5.Closing Stock &amp; W Capital'!$D$14))+(G68*'5.Closing Stock &amp; W Capital'!$D$14))*$C$136*I$124</f>
        <v>0</v>
      </c>
      <c r="J136" s="95">
        <f>((I68*(1-'5.Closing Stock &amp; W Capital'!$D$14))+(H68*'5.Closing Stock &amp; W Capital'!$D$14))*$C$136*J$124</f>
        <v>0</v>
      </c>
      <c r="K136" s="93"/>
      <c r="U136" s="93"/>
      <c r="V136" s="93"/>
      <c r="W136" s="93"/>
    </row>
    <row r="137" spans="1:23">
      <c r="A137" s="94" t="str">
        <f t="shared" si="52"/>
        <v>Jawar</v>
      </c>
      <c r="B137" s="94"/>
      <c r="C137" s="247">
        <v>30</v>
      </c>
      <c r="D137" s="95">
        <f>(C69*(1-'5.Closing Stock &amp; W Capital'!$D$14))*$C$137*D$124</f>
        <v>0</v>
      </c>
      <c r="E137" s="95">
        <f>((D69*(1-'5.Closing Stock &amp; W Capital'!$D$14))+(C69*'5.Closing Stock &amp; W Capital'!$D$14))*$C$137*E$124</f>
        <v>0</v>
      </c>
      <c r="F137" s="95">
        <f>((E69*(1-'5.Closing Stock &amp; W Capital'!$D$14))+(D69*'5.Closing Stock &amp; W Capital'!$D$14))*$C$137*F$124</f>
        <v>0</v>
      </c>
      <c r="G137" s="95">
        <f>((F69*(1-'5.Closing Stock &amp; W Capital'!$D$14))+(E69*'5.Closing Stock &amp; W Capital'!$D$14))*$C$137*G$124</f>
        <v>0</v>
      </c>
      <c r="H137" s="95">
        <f>((G69*(1-'5.Closing Stock &amp; W Capital'!$D$14))+(F69*'5.Closing Stock &amp; W Capital'!$D$14))*$C$137*H$124</f>
        <v>0</v>
      </c>
      <c r="I137" s="95">
        <f>((H69*(1-'5.Closing Stock &amp; W Capital'!$D$14))+(G69*'5.Closing Stock &amp; W Capital'!$D$14))*$C$137*I$124</f>
        <v>0</v>
      </c>
      <c r="J137" s="95">
        <f>((I69*(1-'5.Closing Stock &amp; W Capital'!$D$14))+(H69*'5.Closing Stock &amp; W Capital'!$D$14))*$C$137*J$124</f>
        <v>0</v>
      </c>
      <c r="K137" s="93"/>
      <c r="U137" s="93"/>
      <c r="V137" s="93"/>
      <c r="W137" s="93"/>
    </row>
    <row r="138" spans="1:23">
      <c r="A138" s="96" t="str">
        <f t="shared" si="52"/>
        <v>Rabi Crop</v>
      </c>
      <c r="B138" s="94"/>
      <c r="C138" s="247"/>
      <c r="D138" s="95"/>
      <c r="E138" s="95"/>
      <c r="F138" s="95"/>
      <c r="G138" s="95"/>
      <c r="H138" s="95"/>
      <c r="I138" s="95"/>
      <c r="J138" s="95"/>
      <c r="K138" s="93"/>
      <c r="U138" s="93"/>
      <c r="V138" s="93"/>
      <c r="W138" s="93"/>
    </row>
    <row r="139" spans="1:23">
      <c r="A139" s="94" t="str">
        <f t="shared" si="52"/>
        <v>Wheat</v>
      </c>
      <c r="B139" s="94"/>
      <c r="C139" s="247">
        <v>40</v>
      </c>
      <c r="D139" s="95">
        <f>(C71*(1-'5.Closing Stock &amp; W Capital'!$D$14))*$C$139*D$124</f>
        <v>0</v>
      </c>
      <c r="E139" s="95">
        <f>((D71*(1-'5.Closing Stock &amp; W Capital'!$D$14))+(C71*'5.Closing Stock &amp; W Capital'!$D$14))*$C$139*E$124</f>
        <v>0</v>
      </c>
      <c r="F139" s="95">
        <f>((E71*(1-'5.Closing Stock &amp; W Capital'!$D$14))+(D71*'5.Closing Stock &amp; W Capital'!$D$14))*$C$139*F$124</f>
        <v>0</v>
      </c>
      <c r="G139" s="95">
        <f>((F71*(1-'5.Closing Stock &amp; W Capital'!$D$14))+(E71*'5.Closing Stock &amp; W Capital'!$D$14))*$C$139*G$124</f>
        <v>0</v>
      </c>
      <c r="H139" s="95">
        <f>((G71*(1-'5.Closing Stock &amp; W Capital'!$D$14))+(F71*'5.Closing Stock &amp; W Capital'!$D$14))*$C$139*H$124</f>
        <v>0</v>
      </c>
      <c r="I139" s="95">
        <f>((H71*(1-'5.Closing Stock &amp; W Capital'!$D$14))+(G71*'5.Closing Stock &amp; W Capital'!$D$14))*$C$139*I$124</f>
        <v>0</v>
      </c>
      <c r="J139" s="95">
        <f>((I71*(1-'5.Closing Stock &amp; W Capital'!$D$14))+(H71*'5.Closing Stock &amp; W Capital'!$D$14))*$C$139*J$124</f>
        <v>0</v>
      </c>
      <c r="K139" s="93"/>
      <c r="U139" s="93"/>
      <c r="V139" s="93"/>
      <c r="W139" s="93"/>
    </row>
    <row r="140" spans="1:23">
      <c r="A140" s="94" t="str">
        <f t="shared" si="52"/>
        <v>Channa</v>
      </c>
      <c r="B140" s="94"/>
      <c r="C140" s="247">
        <v>75</v>
      </c>
      <c r="D140" s="95">
        <f>(C72*(1-'5.Closing Stock &amp; W Capital'!$D$14))*$C$140*D$124</f>
        <v>0</v>
      </c>
      <c r="E140" s="95">
        <f>((D72*(1-'5.Closing Stock &amp; W Capital'!$D$14))+(C72*'5.Closing Stock &amp; W Capital'!$D$14))*$C$140*E$124</f>
        <v>0</v>
      </c>
      <c r="F140" s="95">
        <f>((E72*(1-'5.Closing Stock &amp; W Capital'!$D$14))+(D72*'5.Closing Stock &amp; W Capital'!$D$14))*$C$140*F$124</f>
        <v>0</v>
      </c>
      <c r="G140" s="95">
        <f>((F72*(1-'5.Closing Stock &amp; W Capital'!$D$14))+(E72*'5.Closing Stock &amp; W Capital'!$D$14))*$C$140*G$124</f>
        <v>0</v>
      </c>
      <c r="H140" s="95">
        <f>((G72*(1-'5.Closing Stock &amp; W Capital'!$D$14))+(F72*'5.Closing Stock &amp; W Capital'!$D$14))*$C$140*H$124</f>
        <v>0</v>
      </c>
      <c r="I140" s="95">
        <f>((H72*(1-'5.Closing Stock &amp; W Capital'!$D$14))+(G72*'5.Closing Stock &amp; W Capital'!$D$14))*$C$140*I$124</f>
        <v>0</v>
      </c>
      <c r="J140" s="95">
        <f>((I72*(1-'5.Closing Stock &amp; W Capital'!$D$14))+(H72*'5.Closing Stock &amp; W Capital'!$D$14))*$C$140*J$124</f>
        <v>0</v>
      </c>
      <c r="K140" s="93"/>
      <c r="U140" s="93"/>
      <c r="V140" s="93"/>
      <c r="W140" s="93"/>
    </row>
    <row r="141" spans="1:23">
      <c r="A141" s="94" t="str">
        <f t="shared" si="52"/>
        <v>Jawar</v>
      </c>
      <c r="B141" s="94"/>
      <c r="C141" s="247">
        <v>27</v>
      </c>
      <c r="D141" s="95">
        <f>(C73*(1-'5.Closing Stock &amp; W Capital'!$D$14))*$C$141*D$124</f>
        <v>0</v>
      </c>
      <c r="E141" s="95">
        <f>((D73*(1-'5.Closing Stock &amp; W Capital'!$D$14))+(C73*'5.Closing Stock &amp; W Capital'!$D$14))*$C$141*E$124</f>
        <v>0</v>
      </c>
      <c r="F141" s="95">
        <f>((E73*(1-'5.Closing Stock &amp; W Capital'!$D$14))+(D73*'5.Closing Stock &amp; W Capital'!$D$14))*$C$141*F$124</f>
        <v>0</v>
      </c>
      <c r="G141" s="95">
        <f>((F73*(1-'5.Closing Stock &amp; W Capital'!$D$14))+(E73*'5.Closing Stock &amp; W Capital'!$D$14))*$C$141*G$124</f>
        <v>0</v>
      </c>
      <c r="H141" s="95">
        <f>((G73*(1-'5.Closing Stock &amp; W Capital'!$D$14))+(F73*'5.Closing Stock &amp; W Capital'!$D$14))*$C$141*H$124</f>
        <v>0</v>
      </c>
      <c r="I141" s="95">
        <f>((H73*(1-'5.Closing Stock &amp; W Capital'!$D$14))+(G73*'5.Closing Stock &amp; W Capital'!$D$14))*$C$141*I$124</f>
        <v>0</v>
      </c>
      <c r="J141" s="95">
        <f>((I73*(1-'5.Closing Stock &amp; W Capital'!$D$14))+(H73*'5.Closing Stock &amp; W Capital'!$D$14))*$C$141*J$124</f>
        <v>0</v>
      </c>
      <c r="K141" s="93"/>
      <c r="U141" s="93"/>
      <c r="V141" s="93"/>
      <c r="W141" s="93"/>
    </row>
    <row r="142" spans="1:23">
      <c r="A142" s="94" t="str">
        <f t="shared" si="52"/>
        <v>Maize</v>
      </c>
      <c r="B142" s="94"/>
      <c r="C142" s="247">
        <v>0</v>
      </c>
      <c r="D142" s="95">
        <f>(C74*(1-'5.Closing Stock &amp; W Capital'!$D$14))*$C$142*D$124</f>
        <v>0</v>
      </c>
      <c r="E142" s="95">
        <f>((D74*(1-'5.Closing Stock &amp; W Capital'!$D$14))+(C74*'5.Closing Stock &amp; W Capital'!$D$14))*$C$142*E$124</f>
        <v>0</v>
      </c>
      <c r="F142" s="95">
        <f>((E74*(1-'5.Closing Stock &amp; W Capital'!$D$14))+(D74*'5.Closing Stock &amp; W Capital'!$D$14))*$C$142*F$124</f>
        <v>0</v>
      </c>
      <c r="G142" s="95">
        <f>((F74*(1-'5.Closing Stock &amp; W Capital'!$D$14))+(E74*'5.Closing Stock &amp; W Capital'!$D$14))*$C$142*G$124</f>
        <v>0</v>
      </c>
      <c r="H142" s="95">
        <f>((G74*(1-'5.Closing Stock &amp; W Capital'!$D$14))+(F74*'5.Closing Stock &amp; W Capital'!$D$14))*$C$142*H$124</f>
        <v>0</v>
      </c>
      <c r="I142" s="95">
        <f>((H74*(1-'5.Closing Stock &amp; W Capital'!$D$14))+(G74*'5.Closing Stock &amp; W Capital'!$D$14))*$C$142*I$124</f>
        <v>0</v>
      </c>
      <c r="J142" s="95">
        <f>((I74*(1-'5.Closing Stock &amp; W Capital'!$D$14))+(H74*'5.Closing Stock &amp; W Capital'!$D$14))*$C$142*J$124</f>
        <v>0</v>
      </c>
      <c r="K142" s="93"/>
      <c r="U142" s="93"/>
      <c r="V142" s="93"/>
      <c r="W142" s="93"/>
    </row>
    <row r="143" spans="1:23">
      <c r="A143" s="94" t="str">
        <f t="shared" si="52"/>
        <v>Safflower</v>
      </c>
      <c r="B143" s="94"/>
      <c r="C143" s="247"/>
      <c r="D143" s="95">
        <f>(C75*(1-'5.Closing Stock &amp; W Capital'!$D$14))*$C$143*D$124</f>
        <v>0</v>
      </c>
      <c r="E143" s="95">
        <f>((D75*(1-'5.Closing Stock &amp; W Capital'!$D$14))+(C75*'5.Closing Stock &amp; W Capital'!$D$14))*$C$143*E$124</f>
        <v>0</v>
      </c>
      <c r="F143" s="95">
        <f>((E75*(1-'5.Closing Stock &amp; W Capital'!$D$14))+(D75*'5.Closing Stock &amp; W Capital'!$D$14))*$C$143*F$124</f>
        <v>0</v>
      </c>
      <c r="G143" s="95">
        <f>((F75*(1-'5.Closing Stock &amp; W Capital'!$D$14))+(E75*'5.Closing Stock &amp; W Capital'!$D$14))*$C$143*G$124</f>
        <v>0</v>
      </c>
      <c r="H143" s="95">
        <f>((G75*(1-'5.Closing Stock &amp; W Capital'!$D$14))+(F75*'5.Closing Stock &amp; W Capital'!$D$14))*$C$143*H$124</f>
        <v>0</v>
      </c>
      <c r="I143" s="95">
        <f>((H75*(1-'5.Closing Stock &amp; W Capital'!$D$14))+(G75*'5.Closing Stock &amp; W Capital'!$D$14))*$C$143*I$124</f>
        <v>0</v>
      </c>
      <c r="J143" s="95">
        <f>((I75*(1-'5.Closing Stock &amp; W Capital'!$D$14))+(H75*'5.Closing Stock &amp; W Capital'!$D$14))*$C$143*J$124</f>
        <v>0</v>
      </c>
      <c r="K143" s="93"/>
      <c r="U143" s="93"/>
      <c r="V143" s="93"/>
      <c r="W143" s="93"/>
    </row>
    <row r="144" spans="1:23">
      <c r="A144" s="94" t="str">
        <f t="shared" si="52"/>
        <v>Groundnut</v>
      </c>
      <c r="B144" s="94"/>
      <c r="C144" s="247"/>
      <c r="D144" s="95">
        <f>(C76*(1-'5.Closing Stock &amp; W Capital'!$D$14))*$C$144*D$124</f>
        <v>0</v>
      </c>
      <c r="E144" s="95">
        <f>((D76*(1-'5.Closing Stock &amp; W Capital'!$D$14))+(C76*'5.Closing Stock &amp; W Capital'!$D$14))*$C$144*E$124</f>
        <v>0</v>
      </c>
      <c r="F144" s="95">
        <f>((E76*(1-'5.Closing Stock &amp; W Capital'!$D$14))+(D76*'5.Closing Stock &amp; W Capital'!$D$14))*$C$144*F$124</f>
        <v>0</v>
      </c>
      <c r="G144" s="95">
        <f>((F76*(1-'5.Closing Stock &amp; W Capital'!$D$14))+(E76*'5.Closing Stock &amp; W Capital'!$D$14))*$C$144*G$124</f>
        <v>0</v>
      </c>
      <c r="H144" s="95">
        <f>((G76*(1-'5.Closing Stock &amp; W Capital'!$D$14))+(F76*'5.Closing Stock &amp; W Capital'!$D$14))*$C$144*H$124</f>
        <v>0</v>
      </c>
      <c r="I144" s="95">
        <f>((H76*(1-'5.Closing Stock &amp; W Capital'!$D$14))+(G76*'5.Closing Stock &amp; W Capital'!$D$14))*$C$144*I$124</f>
        <v>0</v>
      </c>
      <c r="J144" s="95">
        <f>((I76*(1-'5.Closing Stock &amp; W Capital'!$D$14))+(H76*'5.Closing Stock &amp; W Capital'!$D$14))*$C$144*J$124</f>
        <v>0</v>
      </c>
      <c r="K144" s="93"/>
      <c r="U144" s="93"/>
      <c r="V144" s="93"/>
      <c r="W144" s="93"/>
    </row>
    <row r="145" spans="1:23">
      <c r="A145" s="94">
        <f t="shared" si="52"/>
        <v>0</v>
      </c>
      <c r="B145" s="94"/>
      <c r="C145" s="247"/>
      <c r="D145" s="95">
        <f>(C77*(1-'5.Closing Stock &amp; W Capital'!$D$14))*$C$145*D$124</f>
        <v>0</v>
      </c>
      <c r="E145" s="95">
        <f>((D77*(1-'5.Closing Stock &amp; W Capital'!$D$14))+(C77*'5.Closing Stock &amp; W Capital'!$D$14))*$C$145*E$124</f>
        <v>0</v>
      </c>
      <c r="F145" s="95">
        <f>((E77*(1-'5.Closing Stock &amp; W Capital'!$D$14))+(D77*'5.Closing Stock &amp; W Capital'!$D$14))*$C$145*F$124</f>
        <v>0</v>
      </c>
      <c r="G145" s="95">
        <f>((F77*(1-'5.Closing Stock &amp; W Capital'!$D$14))+(E77*'5.Closing Stock &amp; W Capital'!$D$14))*$C$145*G$124</f>
        <v>0</v>
      </c>
      <c r="H145" s="95">
        <f>((G77*(1-'5.Closing Stock &amp; W Capital'!$D$14))+(F77*'5.Closing Stock &amp; W Capital'!$D$14))*$C$145*H$124</f>
        <v>0</v>
      </c>
      <c r="I145" s="95">
        <f>((H77*(1-'5.Closing Stock &amp; W Capital'!$D$14))+(G77*'5.Closing Stock &amp; W Capital'!$D$14))*$C$145*I$124</f>
        <v>0</v>
      </c>
      <c r="J145" s="95">
        <f>((I77*(1-'5.Closing Stock &amp; W Capital'!$D$14))+(H77*'5.Closing Stock &amp; W Capital'!$D$14))*$C$145*J$124</f>
        <v>0</v>
      </c>
      <c r="K145" s="93"/>
      <c r="U145" s="93"/>
      <c r="V145" s="93"/>
      <c r="W145" s="93"/>
    </row>
    <row r="146" spans="1:23">
      <c r="A146" s="94">
        <f t="shared" si="52"/>
        <v>0</v>
      </c>
      <c r="B146" s="94"/>
      <c r="C146" s="247"/>
      <c r="D146" s="95">
        <f>(C78*(1-'5.Closing Stock &amp; W Capital'!$D$14))*$C$146*D$124</f>
        <v>0</v>
      </c>
      <c r="E146" s="95">
        <f>((D78*(1-'5.Closing Stock &amp; W Capital'!$D$14))+(C78*'5.Closing Stock &amp; W Capital'!$D$14))*$C$146*E$124</f>
        <v>0</v>
      </c>
      <c r="F146" s="95">
        <f>((E78*(1-'5.Closing Stock &amp; W Capital'!$D$14))+(D78*'5.Closing Stock &amp; W Capital'!$D$14))*$C$146*F$124</f>
        <v>0</v>
      </c>
      <c r="G146" s="95">
        <f>((F78*(1-'5.Closing Stock &amp; W Capital'!$D$14))+(E78*'5.Closing Stock &amp; W Capital'!$D$14))*$C$146*G$124</f>
        <v>0</v>
      </c>
      <c r="H146" s="95">
        <f>((G78*(1-'5.Closing Stock &amp; W Capital'!$D$14))+(F78*'5.Closing Stock &amp; W Capital'!$D$14))*$C$146*H$124</f>
        <v>0</v>
      </c>
      <c r="I146" s="95">
        <f>((H78*(1-'5.Closing Stock &amp; W Capital'!$D$14))+(G78*'5.Closing Stock &amp; W Capital'!$D$14))*$C$146*I$124</f>
        <v>0</v>
      </c>
      <c r="J146" s="95">
        <f>((I78*(1-'5.Closing Stock &amp; W Capital'!$D$14))+(H78*'5.Closing Stock &amp; W Capital'!$D$14))*$C$146*J$124</f>
        <v>0</v>
      </c>
      <c r="K146" s="93"/>
      <c r="U146" s="93"/>
      <c r="V146" s="93"/>
      <c r="W146" s="93"/>
    </row>
    <row r="147" spans="1:23">
      <c r="A147" s="96" t="str">
        <f t="shared" si="52"/>
        <v>Summer</v>
      </c>
      <c r="B147" s="94"/>
      <c r="C147" s="247"/>
      <c r="D147" s="95"/>
      <c r="E147" s="95"/>
      <c r="F147" s="95"/>
      <c r="G147" s="95"/>
      <c r="H147" s="95"/>
      <c r="I147" s="95"/>
      <c r="J147" s="95"/>
      <c r="K147" s="93"/>
      <c r="U147" s="93"/>
      <c r="V147" s="93"/>
      <c r="W147" s="93"/>
    </row>
    <row r="148" spans="1:23">
      <c r="A148" s="94" t="str">
        <f t="shared" si="52"/>
        <v>Soybean</v>
      </c>
      <c r="B148" s="94"/>
      <c r="C148" s="247"/>
      <c r="D148" s="95">
        <f>(C80*(1-'5.Closing Stock &amp; W Capital'!$D$14))*$C$148*D$124</f>
        <v>0</v>
      </c>
      <c r="E148" s="95">
        <f>((D80*(1-'5.Closing Stock &amp; W Capital'!$D$14))+(C80*'5.Closing Stock &amp; W Capital'!$D$14))*$C$148*E$124</f>
        <v>0</v>
      </c>
      <c r="F148" s="95">
        <f>((E80*(1-'5.Closing Stock &amp; W Capital'!$D$14))+(D80*'5.Closing Stock &amp; W Capital'!$D$14))*$C$148*F$124</f>
        <v>0</v>
      </c>
      <c r="G148" s="95">
        <f>((F80*(1-'5.Closing Stock &amp; W Capital'!$D$14))+(E80*'5.Closing Stock &amp; W Capital'!$D$14))*$C$148*G$124</f>
        <v>0</v>
      </c>
      <c r="H148" s="95">
        <f>((G80*(1-'5.Closing Stock &amp; W Capital'!$D$14))+(F80*'5.Closing Stock &amp; W Capital'!$D$14))*$C$148*H$124</f>
        <v>0</v>
      </c>
      <c r="I148" s="95">
        <f>((H80*(1-'5.Closing Stock &amp; W Capital'!$D$14))+(G80*'5.Closing Stock &amp; W Capital'!$D$14))*$C$148*I$124</f>
        <v>0</v>
      </c>
      <c r="J148" s="95">
        <f>((I80*(1-'5.Closing Stock &amp; W Capital'!$D$14))+(H80*'5.Closing Stock &amp; W Capital'!$D$14))*$C$148*J$124</f>
        <v>0</v>
      </c>
      <c r="K148" s="93"/>
      <c r="U148" s="93"/>
      <c r="V148" s="93"/>
      <c r="W148" s="93"/>
    </row>
    <row r="149" spans="1:23">
      <c r="A149" s="94">
        <f t="shared" si="52"/>
        <v>0</v>
      </c>
      <c r="B149" s="94"/>
      <c r="C149" s="247"/>
      <c r="D149" s="95">
        <f>(C81*(1-'5.Closing Stock &amp; W Capital'!$D$14))*$C$149*D$124</f>
        <v>0</v>
      </c>
      <c r="E149" s="95">
        <f>((D81*(1-'5.Closing Stock &amp; W Capital'!$D$14))+(C81*'5.Closing Stock &amp; W Capital'!$D$14))*$C$149*E$124</f>
        <v>0</v>
      </c>
      <c r="F149" s="95">
        <f>((E81*(1-'5.Closing Stock &amp; W Capital'!$D$14))+(D81*'5.Closing Stock &amp; W Capital'!$D$14))*$C$149*F$124</f>
        <v>0</v>
      </c>
      <c r="G149" s="95">
        <f>((F81*(1-'5.Closing Stock &amp; W Capital'!$D$14))+(E81*'5.Closing Stock &amp; W Capital'!$D$14))*$C$149*G$124</f>
        <v>0</v>
      </c>
      <c r="H149" s="95">
        <f>((G81*(1-'5.Closing Stock &amp; W Capital'!$D$14))+(F81*'5.Closing Stock &amp; W Capital'!$D$14))*$C$149*H$124</f>
        <v>0</v>
      </c>
      <c r="I149" s="95">
        <f>((H81*(1-'5.Closing Stock &amp; W Capital'!$D$14))+(G81*'5.Closing Stock &amp; W Capital'!$D$14))*$C$149*I$124</f>
        <v>0</v>
      </c>
      <c r="J149" s="95">
        <f>((I81*(1-'5.Closing Stock &amp; W Capital'!$D$14))+(H81*'5.Closing Stock &amp; W Capital'!$D$14))*$C$149*J$124</f>
        <v>0</v>
      </c>
      <c r="K149" s="93"/>
      <c r="U149" s="93"/>
      <c r="V149" s="93"/>
      <c r="W149" s="93"/>
    </row>
    <row r="150" spans="1:23">
      <c r="A150" s="94">
        <f t="shared" si="52"/>
        <v>0</v>
      </c>
      <c r="B150" s="94"/>
      <c r="C150" s="247"/>
      <c r="D150" s="95">
        <f>(C82*(1-'5.Closing Stock &amp; W Capital'!$D$14))*$C$150*D$124</f>
        <v>0</v>
      </c>
      <c r="E150" s="95">
        <f>((D82*(1-'5.Closing Stock &amp; W Capital'!$D$14))+(C82*'5.Closing Stock &amp; W Capital'!$D$14))*$C$150*E$124</f>
        <v>0</v>
      </c>
      <c r="F150" s="95">
        <f>((E82*(1-'5.Closing Stock &amp; W Capital'!$D$14))+(D82*'5.Closing Stock &amp; W Capital'!$D$14))*$C$150*F$124</f>
        <v>0</v>
      </c>
      <c r="G150" s="95">
        <f>((F82*(1-'5.Closing Stock &amp; W Capital'!$D$14))+(E82*'5.Closing Stock &amp; W Capital'!$D$14))*$C$150*G$124</f>
        <v>0</v>
      </c>
      <c r="H150" s="95">
        <f>((G82*(1-'5.Closing Stock &amp; W Capital'!$D$14))+(F82*'5.Closing Stock &amp; W Capital'!$D$14))*$C$150*H$124</f>
        <v>0</v>
      </c>
      <c r="I150" s="95">
        <f>((H82*(1-'5.Closing Stock &amp; W Capital'!$D$14))+(G82*'5.Closing Stock &amp; W Capital'!$D$14))*$C$150*I$124</f>
        <v>0</v>
      </c>
      <c r="J150" s="95">
        <f>((I82*(1-'5.Closing Stock &amp; W Capital'!$D$14))+(H82*'5.Closing Stock &amp; W Capital'!$D$14))*$C$150*J$124</f>
        <v>0</v>
      </c>
      <c r="K150" s="93"/>
      <c r="U150" s="93"/>
      <c r="V150" s="93"/>
      <c r="W150" s="93"/>
    </row>
    <row r="151" spans="1:23">
      <c r="A151" s="94">
        <f t="shared" si="52"/>
        <v>0</v>
      </c>
      <c r="B151" s="94"/>
      <c r="C151" s="247"/>
      <c r="D151" s="95">
        <f>(C83*(1-'5.Closing Stock &amp; W Capital'!$D$14))*$C$151*D$124</f>
        <v>0</v>
      </c>
      <c r="E151" s="95">
        <f>((D83*(1-'5.Closing Stock &amp; W Capital'!$D$14))+(C83*'5.Closing Stock &amp; W Capital'!$D$14))*$C$151*E$124</f>
        <v>0</v>
      </c>
      <c r="F151" s="95">
        <f>((E83*(1-'5.Closing Stock &amp; W Capital'!$D$14))+(D83*'5.Closing Stock &amp; W Capital'!$D$14))*$C$151*F$124</f>
        <v>0</v>
      </c>
      <c r="G151" s="95">
        <f>((F83*(1-'5.Closing Stock &amp; W Capital'!$D$14))+(E83*'5.Closing Stock &amp; W Capital'!$D$14))*$C$151*G$124</f>
        <v>0</v>
      </c>
      <c r="H151" s="95">
        <f>((G83*(1-'5.Closing Stock &amp; W Capital'!$D$14))+(F83*'5.Closing Stock &amp; W Capital'!$D$14))*$C$151*H$124</f>
        <v>0</v>
      </c>
      <c r="I151" s="95">
        <f>((H83*(1-'5.Closing Stock &amp; W Capital'!$D$14))+(G83*'5.Closing Stock &amp; W Capital'!$D$14))*$C$151*I$124</f>
        <v>0</v>
      </c>
      <c r="J151" s="95">
        <f>((I83*(1-'5.Closing Stock &amp; W Capital'!$D$14))+(H83*'5.Closing Stock &amp; W Capital'!$D$14))*$C$151*J$124</f>
        <v>0</v>
      </c>
      <c r="K151" s="93"/>
      <c r="U151" s="93"/>
      <c r="V151" s="93"/>
      <c r="W151" s="93"/>
    </row>
    <row r="152" spans="1:23">
      <c r="A152" s="94">
        <f t="shared" si="52"/>
        <v>0</v>
      </c>
      <c r="B152" s="94"/>
      <c r="C152" s="247"/>
      <c r="D152" s="95">
        <f>(C84*(1-'5.Closing Stock &amp; W Capital'!$D$14))*$C$152*D$124</f>
        <v>0</v>
      </c>
      <c r="E152" s="95">
        <f>((D84*(1-'5.Closing Stock &amp; W Capital'!$D$14))+(C84*'5.Closing Stock &amp; W Capital'!$D$14))*$C$152*E$124</f>
        <v>0</v>
      </c>
      <c r="F152" s="95">
        <f>((E84*(1-'5.Closing Stock &amp; W Capital'!$D$14))+(D84*'5.Closing Stock &amp; W Capital'!$D$14))*$C$152*F$124</f>
        <v>0</v>
      </c>
      <c r="G152" s="95">
        <f>((F84*(1-'5.Closing Stock &amp; W Capital'!$D$14))+(E84*'5.Closing Stock &amp; W Capital'!$D$14))*$C$152*G$124</f>
        <v>0</v>
      </c>
      <c r="H152" s="95">
        <f>((G84*(1-'5.Closing Stock &amp; W Capital'!$D$14))+(F84*'5.Closing Stock &amp; W Capital'!$D$14))*$C$152*H$124</f>
        <v>0</v>
      </c>
      <c r="I152" s="95">
        <f>((H84*(1-'5.Closing Stock &amp; W Capital'!$D$14))+(G84*'5.Closing Stock &amp; W Capital'!$D$14))*$C$152*I$124</f>
        <v>0</v>
      </c>
      <c r="J152" s="95">
        <f>((I84*(1-'5.Closing Stock &amp; W Capital'!$D$14))+(H84*'5.Closing Stock &amp; W Capital'!$D$14))*$C$152*J$124</f>
        <v>0</v>
      </c>
      <c r="K152" s="93"/>
      <c r="U152" s="93"/>
      <c r="V152" s="93"/>
      <c r="W152" s="93"/>
    </row>
    <row r="153" spans="1:23">
      <c r="A153" s="94" t="str">
        <f t="shared" si="52"/>
        <v>Fruit  &amp; Vegetables Crop Production Details</v>
      </c>
      <c r="B153" s="94"/>
      <c r="C153" s="247"/>
      <c r="D153" s="95"/>
      <c r="E153" s="95"/>
      <c r="F153" s="95"/>
      <c r="G153" s="95"/>
      <c r="H153" s="95"/>
      <c r="I153" s="95"/>
      <c r="J153" s="95"/>
      <c r="K153" s="93"/>
      <c r="U153" s="93"/>
      <c r="V153" s="93"/>
      <c r="W153" s="93"/>
    </row>
    <row r="154" spans="1:23">
      <c r="A154" s="94" t="str">
        <f t="shared" si="52"/>
        <v>Onion</v>
      </c>
      <c r="B154" s="94"/>
      <c r="C154" s="247"/>
      <c r="D154" s="95">
        <f>(C86*(1-'5.Closing Stock &amp; W Capital'!$D$14))*$C154*D$124</f>
        <v>0</v>
      </c>
      <c r="E154" s="95">
        <f>((D86*(1-'5.Closing Stock &amp; W Capital'!$D$14))+(C86*'5.Closing Stock &amp; W Capital'!$D$14))*$C154*E$124</f>
        <v>0</v>
      </c>
      <c r="F154" s="95">
        <f>((E86*(1-'5.Closing Stock &amp; W Capital'!$D$14))+(D86*'5.Closing Stock &amp; W Capital'!$D$14))*$C$152*F$124</f>
        <v>0</v>
      </c>
      <c r="G154" s="95">
        <f>((F86*(1-'5.Closing Stock &amp; W Capital'!$D$14))+(E86*'5.Closing Stock &amp; W Capital'!$D$14))*$C$152*G$124</f>
        <v>0</v>
      </c>
      <c r="H154" s="95">
        <f>((G86*(1-'5.Closing Stock &amp; W Capital'!$D$14))+(F86*'5.Closing Stock &amp; W Capital'!$D$14))*$C$152*H$124</f>
        <v>0</v>
      </c>
      <c r="I154" s="95">
        <f>((H86*(1-'5.Closing Stock &amp; W Capital'!$D$14))+(G86*'5.Closing Stock &amp; W Capital'!$D$14))*$C$152*I$124</f>
        <v>0</v>
      </c>
      <c r="J154" s="95">
        <f>((I86*(1-'5.Closing Stock &amp; W Capital'!$D$14))+(H86*'5.Closing Stock &amp; W Capital'!$D$14))*$C$152*J$124</f>
        <v>0</v>
      </c>
      <c r="K154" s="93"/>
      <c r="U154" s="93"/>
      <c r="V154" s="93"/>
      <c r="W154" s="93"/>
    </row>
    <row r="155" spans="1:23">
      <c r="A155" s="94" t="str">
        <f t="shared" si="52"/>
        <v>Tomato</v>
      </c>
      <c r="B155" s="94"/>
      <c r="C155" s="247"/>
      <c r="D155" s="95">
        <f>(C87*(1-'5.Closing Stock &amp; W Capital'!$D$14))*$C155*D$124</f>
        <v>0</v>
      </c>
      <c r="E155" s="95">
        <f>((D87*(1-'5.Closing Stock &amp; W Capital'!$D$14))+(C87*'5.Closing Stock &amp; W Capital'!$D$14))*$C155*E$124</f>
        <v>0</v>
      </c>
      <c r="F155" s="95">
        <f>((E87*(1-'5.Closing Stock &amp; W Capital'!$D$14))+(D87*'5.Closing Stock &amp; W Capital'!$D$14))*$C$152*F$124</f>
        <v>0</v>
      </c>
      <c r="G155" s="95">
        <f>((F87*(1-'5.Closing Stock &amp; W Capital'!$D$14))+(E87*'5.Closing Stock &amp; W Capital'!$D$14))*$C$152*G$124</f>
        <v>0</v>
      </c>
      <c r="H155" s="95">
        <f>((G87*(1-'5.Closing Stock &amp; W Capital'!$D$14))+(F87*'5.Closing Stock &amp; W Capital'!$D$14))*$C$152*H$124</f>
        <v>0</v>
      </c>
      <c r="I155" s="95">
        <f>((H87*(1-'5.Closing Stock &amp; W Capital'!$D$14))+(G87*'5.Closing Stock &amp; W Capital'!$D$14))*$C$152*I$124</f>
        <v>0</v>
      </c>
      <c r="J155" s="95">
        <f>((I87*(1-'5.Closing Stock &amp; W Capital'!$D$14))+(H87*'5.Closing Stock &amp; W Capital'!$D$14))*$C$152*J$124</f>
        <v>0</v>
      </c>
      <c r="K155" s="93"/>
      <c r="U155" s="93"/>
      <c r="V155" s="93"/>
      <c r="W155" s="93"/>
    </row>
    <row r="156" spans="1:23">
      <c r="A156" s="94" t="str">
        <f t="shared" si="52"/>
        <v>Okra</v>
      </c>
      <c r="B156" s="94"/>
      <c r="C156" s="247"/>
      <c r="D156" s="95">
        <f>(C88*(1-'5.Closing Stock &amp; W Capital'!$D$14))*$C156*D$124</f>
        <v>0</v>
      </c>
      <c r="E156" s="95">
        <f>((D88*(1-'5.Closing Stock &amp; W Capital'!$D$14))+(C88*'5.Closing Stock &amp; W Capital'!$D$14))*$C156*E$124</f>
        <v>0</v>
      </c>
      <c r="F156" s="95">
        <f>((E88*(1-'5.Closing Stock &amp; W Capital'!$D$14))+(D88*'5.Closing Stock &amp; W Capital'!$D$14))*$C$152*F$124</f>
        <v>0</v>
      </c>
      <c r="G156" s="95">
        <f>((F88*(1-'5.Closing Stock &amp; W Capital'!$D$14))+(E88*'5.Closing Stock &amp; W Capital'!$D$14))*$C$152*G$124</f>
        <v>0</v>
      </c>
      <c r="H156" s="95">
        <f>((G88*(1-'5.Closing Stock &amp; W Capital'!$D$14))+(F88*'5.Closing Stock &amp; W Capital'!$D$14))*$C$152*H$124</f>
        <v>0</v>
      </c>
      <c r="I156" s="95">
        <f>((H88*(1-'5.Closing Stock &amp; W Capital'!$D$14))+(G88*'5.Closing Stock &amp; W Capital'!$D$14))*$C$152*I$124</f>
        <v>0</v>
      </c>
      <c r="J156" s="95">
        <f>((I88*(1-'5.Closing Stock &amp; W Capital'!$D$14))+(H88*'5.Closing Stock &amp; W Capital'!$D$14))*$C$152*J$124</f>
        <v>0</v>
      </c>
      <c r="K156" s="93"/>
      <c r="U156" s="93"/>
      <c r="V156" s="93"/>
      <c r="W156" s="93"/>
    </row>
    <row r="157" spans="1:23">
      <c r="A157" s="94" t="str">
        <f t="shared" si="52"/>
        <v>Chilli</v>
      </c>
      <c r="B157" s="94"/>
      <c r="C157" s="247"/>
      <c r="D157" s="95">
        <f>(C89*(1-'5.Closing Stock &amp; W Capital'!$D$14))*$C157*D$124</f>
        <v>0</v>
      </c>
      <c r="E157" s="95">
        <f>((D89*(1-'5.Closing Stock &amp; W Capital'!$D$14))+(C89*'5.Closing Stock &amp; W Capital'!$D$14))*$C157*E$124</f>
        <v>0</v>
      </c>
      <c r="F157" s="95">
        <f>((E89*(1-'5.Closing Stock &amp; W Capital'!$D$14))+(D89*'5.Closing Stock &amp; W Capital'!$D$14))*$C$152*F$124</f>
        <v>0</v>
      </c>
      <c r="G157" s="95">
        <f>((F89*(1-'5.Closing Stock &amp; W Capital'!$D$14))+(E89*'5.Closing Stock &amp; W Capital'!$D$14))*$C$152*G$124</f>
        <v>0</v>
      </c>
      <c r="H157" s="95">
        <f>((G89*(1-'5.Closing Stock &amp; W Capital'!$D$14))+(F89*'5.Closing Stock &amp; W Capital'!$D$14))*$C$152*H$124</f>
        <v>0</v>
      </c>
      <c r="I157" s="95">
        <f>((H89*(1-'5.Closing Stock &amp; W Capital'!$D$14))+(G89*'5.Closing Stock &amp; W Capital'!$D$14))*$C$152*I$124</f>
        <v>0</v>
      </c>
      <c r="J157" s="95">
        <f>((I89*(1-'5.Closing Stock &amp; W Capital'!$D$14))+(H89*'5.Closing Stock &amp; W Capital'!$D$14))*$C$152*J$124</f>
        <v>0</v>
      </c>
      <c r="K157" s="93"/>
      <c r="U157" s="93"/>
      <c r="V157" s="93"/>
      <c r="W157" s="93"/>
    </row>
    <row r="158" spans="1:23">
      <c r="A158" s="94" t="str">
        <f t="shared" si="52"/>
        <v>Potato</v>
      </c>
      <c r="B158" s="94"/>
      <c r="C158" s="247"/>
      <c r="D158" s="95">
        <f>(C90*(1-'5.Closing Stock &amp; W Capital'!$D$14))*$C158*D$124</f>
        <v>0</v>
      </c>
      <c r="E158" s="95">
        <f>((D90*(1-'5.Closing Stock &amp; W Capital'!$D$14))+(C90*'5.Closing Stock &amp; W Capital'!$D$14))*$C158*E$124</f>
        <v>0</v>
      </c>
      <c r="F158" s="95">
        <f>((E90*(1-'5.Closing Stock &amp; W Capital'!$D$14))+(D90*'5.Closing Stock &amp; W Capital'!$D$14))*$C$152*F$124</f>
        <v>0</v>
      </c>
      <c r="G158" s="95">
        <f>((F90*(1-'5.Closing Stock &amp; W Capital'!$D$14))+(E90*'5.Closing Stock &amp; W Capital'!$D$14))*$C$152*G$124</f>
        <v>0</v>
      </c>
      <c r="H158" s="95">
        <f>((G90*(1-'5.Closing Stock &amp; W Capital'!$D$14))+(F90*'5.Closing Stock &amp; W Capital'!$D$14))*$C$152*H$124</f>
        <v>0</v>
      </c>
      <c r="I158" s="95">
        <f>((H90*(1-'5.Closing Stock &amp; W Capital'!$D$14))+(G90*'5.Closing Stock &amp; W Capital'!$D$14))*$C$152*I$124</f>
        <v>0</v>
      </c>
      <c r="J158" s="95">
        <f>((I90*(1-'5.Closing Stock &amp; W Capital'!$D$14))+(H90*'5.Closing Stock &amp; W Capital'!$D$14))*$C$152*J$124</f>
        <v>0</v>
      </c>
      <c r="K158" s="93"/>
      <c r="U158" s="93"/>
      <c r="V158" s="93"/>
      <c r="W158" s="93"/>
    </row>
    <row r="159" spans="1:23">
      <c r="A159" s="94">
        <f t="shared" si="52"/>
        <v>0</v>
      </c>
      <c r="B159" s="94"/>
      <c r="C159" s="247"/>
      <c r="D159" s="95">
        <f>(C91*(1-'5.Closing Stock &amp; W Capital'!$D$14))*$C159*D$124</f>
        <v>0</v>
      </c>
      <c r="E159" s="95">
        <f>((D91*(1-'5.Closing Stock &amp; W Capital'!$D$14))+(C91*'5.Closing Stock &amp; W Capital'!$D$14))*$C159*E$124</f>
        <v>0</v>
      </c>
      <c r="F159" s="95">
        <f>((E91*(1-'5.Closing Stock &amp; W Capital'!$D$14))+(D91*'5.Closing Stock &amp; W Capital'!$D$14))*$C$152*F$124</f>
        <v>0</v>
      </c>
      <c r="G159" s="95">
        <f>((F91*(1-'5.Closing Stock &amp; W Capital'!$D$14))+(E91*'5.Closing Stock &amp; W Capital'!$D$14))*$C$152*G$124</f>
        <v>0</v>
      </c>
      <c r="H159" s="95">
        <f>((G91*(1-'5.Closing Stock &amp; W Capital'!$D$14))+(F91*'5.Closing Stock &amp; W Capital'!$D$14))*$C$152*H$124</f>
        <v>0</v>
      </c>
      <c r="I159" s="95">
        <f>((H91*(1-'5.Closing Stock &amp; W Capital'!$D$14))+(G91*'5.Closing Stock &amp; W Capital'!$D$14))*$C$152*I$124</f>
        <v>0</v>
      </c>
      <c r="J159" s="95">
        <f>((I91*(1-'5.Closing Stock &amp; W Capital'!$D$14))+(H91*'5.Closing Stock &amp; W Capital'!$D$14))*$C$152*J$124</f>
        <v>0</v>
      </c>
      <c r="K159" s="93"/>
      <c r="U159" s="93"/>
      <c r="V159" s="93"/>
      <c r="W159" s="93"/>
    </row>
    <row r="160" spans="1:23">
      <c r="A160" s="94">
        <f t="shared" si="52"/>
        <v>0</v>
      </c>
      <c r="B160" s="94"/>
      <c r="C160" s="247"/>
      <c r="D160" s="95">
        <f>(C92*(1-'5.Closing Stock &amp; W Capital'!$D$14))*$C160*D$124</f>
        <v>0</v>
      </c>
      <c r="E160" s="95">
        <f>((D92*(1-'5.Closing Stock &amp; W Capital'!$D$14))+(C92*'5.Closing Stock &amp; W Capital'!$D$14))*$C160*E$124</f>
        <v>0</v>
      </c>
      <c r="F160" s="95">
        <f>((E92*(1-'5.Closing Stock &amp; W Capital'!$D$14))+(D92*'5.Closing Stock &amp; W Capital'!$D$14))*$C$152*F$124</f>
        <v>0</v>
      </c>
      <c r="G160" s="95">
        <f>((F92*(1-'5.Closing Stock &amp; W Capital'!$D$14))+(E92*'5.Closing Stock &amp; W Capital'!$D$14))*$C$152*G$124</f>
        <v>0</v>
      </c>
      <c r="H160" s="95">
        <f>((G92*(1-'5.Closing Stock &amp; W Capital'!$D$14))+(F92*'5.Closing Stock &amp; W Capital'!$D$14))*$C$152*H$124</f>
        <v>0</v>
      </c>
      <c r="I160" s="95">
        <f>((H92*(1-'5.Closing Stock &amp; W Capital'!$D$14))+(G92*'5.Closing Stock &amp; W Capital'!$D$14))*$C$152*I$124</f>
        <v>0</v>
      </c>
      <c r="J160" s="95">
        <f>((I92*(1-'5.Closing Stock &amp; W Capital'!$D$14))+(H92*'5.Closing Stock &amp; W Capital'!$D$14))*$C$152*J$124</f>
        <v>0</v>
      </c>
      <c r="K160" s="93"/>
      <c r="U160" s="93"/>
      <c r="V160" s="93"/>
      <c r="W160" s="93"/>
    </row>
    <row r="161" spans="1:23">
      <c r="A161" s="94">
        <f t="shared" ref="A161:A179" si="53">A40</f>
        <v>0</v>
      </c>
      <c r="B161" s="94"/>
      <c r="C161" s="247"/>
      <c r="D161" s="95">
        <f>(C93*(1-'5.Closing Stock &amp; W Capital'!$D$14))*$C161*D$124</f>
        <v>0</v>
      </c>
      <c r="E161" s="95">
        <f>((D93*(1-'5.Closing Stock &amp; W Capital'!$D$14))+(C93*'5.Closing Stock &amp; W Capital'!$D$14))*$C161*E$124</f>
        <v>0</v>
      </c>
      <c r="F161" s="95">
        <f>((E93*(1-'5.Closing Stock &amp; W Capital'!$D$14))+(D93*'5.Closing Stock &amp; W Capital'!$D$14))*$C$152*F$124</f>
        <v>0</v>
      </c>
      <c r="G161" s="95">
        <f>((F93*(1-'5.Closing Stock &amp; W Capital'!$D$14))+(E93*'5.Closing Stock &amp; W Capital'!$D$14))*$C$152*G$124</f>
        <v>0</v>
      </c>
      <c r="H161" s="95">
        <f>((G93*(1-'5.Closing Stock &amp; W Capital'!$D$14))+(F93*'5.Closing Stock &amp; W Capital'!$D$14))*$C$152*H$124</f>
        <v>0</v>
      </c>
      <c r="I161" s="95">
        <f>((H93*(1-'5.Closing Stock &amp; W Capital'!$D$14))+(G93*'5.Closing Stock &amp; W Capital'!$D$14))*$C$152*I$124</f>
        <v>0</v>
      </c>
      <c r="J161" s="95">
        <f>((I93*(1-'5.Closing Stock &amp; W Capital'!$D$14))+(H93*'5.Closing Stock &amp; W Capital'!$D$14))*$C$152*J$124</f>
        <v>0</v>
      </c>
      <c r="K161" s="93"/>
      <c r="U161" s="93"/>
      <c r="V161" s="93"/>
      <c r="W161" s="93"/>
    </row>
    <row r="162" spans="1:23">
      <c r="A162" s="94">
        <f t="shared" si="53"/>
        <v>0</v>
      </c>
      <c r="B162" s="94"/>
      <c r="C162" s="247"/>
      <c r="D162" s="95">
        <f>(C94*(1-'5.Closing Stock &amp; W Capital'!$D$14))*$C162*D$124</f>
        <v>0</v>
      </c>
      <c r="E162" s="95">
        <f>((D94*(1-'5.Closing Stock &amp; W Capital'!$D$14))+(C94*'5.Closing Stock &amp; W Capital'!$D$14))*$C162*E$124</f>
        <v>0</v>
      </c>
      <c r="F162" s="95">
        <f>((E94*(1-'5.Closing Stock &amp; W Capital'!$D$14))+(D94*'5.Closing Stock &amp; W Capital'!$D$14))*$C$152*F$124</f>
        <v>0</v>
      </c>
      <c r="G162" s="95">
        <f>((F94*(1-'5.Closing Stock &amp; W Capital'!$D$14))+(E94*'5.Closing Stock &amp; W Capital'!$D$14))*$C$152*G$124</f>
        <v>0</v>
      </c>
      <c r="H162" s="95">
        <f>((G94*(1-'5.Closing Stock &amp; W Capital'!$D$14))+(F94*'5.Closing Stock &amp; W Capital'!$D$14))*$C$152*H$124</f>
        <v>0</v>
      </c>
      <c r="I162" s="95">
        <f>((H94*(1-'5.Closing Stock &amp; W Capital'!$D$14))+(G94*'5.Closing Stock &amp; W Capital'!$D$14))*$C$152*I$124</f>
        <v>0</v>
      </c>
      <c r="J162" s="95">
        <f>((I94*(1-'5.Closing Stock &amp; W Capital'!$D$14))+(H94*'5.Closing Stock &amp; W Capital'!$D$14))*$C$152*J$124</f>
        <v>0</v>
      </c>
      <c r="K162" s="93"/>
      <c r="U162" s="93"/>
      <c r="V162" s="93"/>
      <c r="W162" s="93"/>
    </row>
    <row r="163" spans="1:23">
      <c r="A163" s="94" t="str">
        <f t="shared" si="53"/>
        <v>Onion</v>
      </c>
      <c r="B163" s="94"/>
      <c r="C163" s="247"/>
      <c r="D163" s="95">
        <f>(C95*(1-'5.Closing Stock &amp; W Capital'!$D$14))*$C163*D$124</f>
        <v>0</v>
      </c>
      <c r="E163" s="95">
        <f>((D95*(1-'5.Closing Stock &amp; W Capital'!$D$14))+(C95*'5.Closing Stock &amp; W Capital'!$D$14))*$C163*E$124</f>
        <v>0</v>
      </c>
      <c r="F163" s="95">
        <f>((E95*(1-'5.Closing Stock &amp; W Capital'!$D$14))+(D95*'5.Closing Stock &amp; W Capital'!$D$14))*$C$152*F$124</f>
        <v>0</v>
      </c>
      <c r="G163" s="95">
        <f>((F95*(1-'5.Closing Stock &amp; W Capital'!$D$14))+(E95*'5.Closing Stock &amp; W Capital'!$D$14))*$C$152*G$124</f>
        <v>0</v>
      </c>
      <c r="H163" s="95">
        <f>((G95*(1-'5.Closing Stock &amp; W Capital'!$D$14))+(F95*'5.Closing Stock &amp; W Capital'!$D$14))*$C$152*H$124</f>
        <v>0</v>
      </c>
      <c r="I163" s="95">
        <f>((H95*(1-'5.Closing Stock &amp; W Capital'!$D$14))+(G95*'5.Closing Stock &amp; W Capital'!$D$14))*$C$152*I$124</f>
        <v>0</v>
      </c>
      <c r="J163" s="95">
        <f>((I95*(1-'5.Closing Stock &amp; W Capital'!$D$14))+(H95*'5.Closing Stock &amp; W Capital'!$D$14))*$C$152*J$124</f>
        <v>0</v>
      </c>
      <c r="K163" s="93"/>
      <c r="U163" s="93"/>
      <c r="V163" s="93"/>
      <c r="W163" s="93"/>
    </row>
    <row r="164" spans="1:23">
      <c r="A164" s="94" t="str">
        <f t="shared" si="53"/>
        <v>Tomato</v>
      </c>
      <c r="B164" s="94"/>
      <c r="C164" s="247"/>
      <c r="D164" s="95">
        <f>(C96*(1-'5.Closing Stock &amp; W Capital'!$D$14))*$C164*D$124</f>
        <v>0</v>
      </c>
      <c r="E164" s="95">
        <f>((D96*(1-'5.Closing Stock &amp; W Capital'!$D$14))+(C96*'5.Closing Stock &amp; W Capital'!$D$14))*$C164*E$124</f>
        <v>0</v>
      </c>
      <c r="F164" s="95">
        <f>((E96*(1-'5.Closing Stock &amp; W Capital'!$D$14))+(D96*'5.Closing Stock &amp; W Capital'!$D$14))*$C$152*F$124</f>
        <v>0</v>
      </c>
      <c r="G164" s="95">
        <f>((F96*(1-'5.Closing Stock &amp; W Capital'!$D$14))+(E96*'5.Closing Stock &amp; W Capital'!$D$14))*$C$152*G$124</f>
        <v>0</v>
      </c>
      <c r="H164" s="95">
        <f>((G96*(1-'5.Closing Stock &amp; W Capital'!$D$14))+(F96*'5.Closing Stock &amp; W Capital'!$D$14))*$C$152*H$124</f>
        <v>0</v>
      </c>
      <c r="I164" s="95">
        <f>((H96*(1-'5.Closing Stock &amp; W Capital'!$D$14))+(G96*'5.Closing Stock &amp; W Capital'!$D$14))*$C$152*I$124</f>
        <v>0</v>
      </c>
      <c r="J164" s="95">
        <f>((I96*(1-'5.Closing Stock &amp; W Capital'!$D$14))+(H96*'5.Closing Stock &amp; W Capital'!$D$14))*$C$152*J$124</f>
        <v>0</v>
      </c>
      <c r="K164" s="93"/>
      <c r="U164" s="93"/>
      <c r="V164" s="93"/>
      <c r="W164" s="93"/>
    </row>
    <row r="165" spans="1:23">
      <c r="A165" s="94" t="str">
        <f t="shared" si="53"/>
        <v>Okra</v>
      </c>
      <c r="B165" s="94"/>
      <c r="C165" s="247"/>
      <c r="D165" s="95">
        <f>(C97*(1-'5.Closing Stock &amp; W Capital'!$D$14))*$C165*D$124</f>
        <v>0</v>
      </c>
      <c r="E165" s="95">
        <f>((D97*(1-'5.Closing Stock &amp; W Capital'!$D$14))+(C97*'5.Closing Stock &amp; W Capital'!$D$14))*$C165*E$124</f>
        <v>0</v>
      </c>
      <c r="F165" s="95">
        <f>((E97*(1-'5.Closing Stock &amp; W Capital'!$D$14))+(D97*'5.Closing Stock &amp; W Capital'!$D$14))*$C$152*F$124</f>
        <v>0</v>
      </c>
      <c r="G165" s="95">
        <f>((F97*(1-'5.Closing Stock &amp; W Capital'!$D$14))+(E97*'5.Closing Stock &amp; W Capital'!$D$14))*$C$152*G$124</f>
        <v>0</v>
      </c>
      <c r="H165" s="95">
        <f>((G97*(1-'5.Closing Stock &amp; W Capital'!$D$14))+(F97*'5.Closing Stock &amp; W Capital'!$D$14))*$C$152*H$124</f>
        <v>0</v>
      </c>
      <c r="I165" s="95">
        <f>((H97*(1-'5.Closing Stock &amp; W Capital'!$D$14))+(G97*'5.Closing Stock &amp; W Capital'!$D$14))*$C$152*I$124</f>
        <v>0</v>
      </c>
      <c r="J165" s="95">
        <f>((I97*(1-'5.Closing Stock &amp; W Capital'!$D$14))+(H97*'5.Closing Stock &amp; W Capital'!$D$14))*$C$152*J$124</f>
        <v>0</v>
      </c>
      <c r="K165" s="93"/>
      <c r="U165" s="93"/>
      <c r="V165" s="93"/>
      <c r="W165" s="93"/>
    </row>
    <row r="166" spans="1:23">
      <c r="A166" s="94" t="str">
        <f t="shared" si="53"/>
        <v>Chilli</v>
      </c>
      <c r="B166" s="94"/>
      <c r="C166" s="247"/>
      <c r="D166" s="95">
        <f>(C98*(1-'5.Closing Stock &amp; W Capital'!$D$14))*$C166*D$124</f>
        <v>0</v>
      </c>
      <c r="E166" s="95">
        <f>((D98*(1-'5.Closing Stock &amp; W Capital'!$D$14))+(C98*'5.Closing Stock &amp; W Capital'!$D$14))*$C166*E$124</f>
        <v>0</v>
      </c>
      <c r="F166" s="95">
        <f>((E98*(1-'5.Closing Stock &amp; W Capital'!$D$14))+(D98*'5.Closing Stock &amp; W Capital'!$D$14))*$C$152*F$124</f>
        <v>0</v>
      </c>
      <c r="G166" s="95">
        <f>((F98*(1-'5.Closing Stock &amp; W Capital'!$D$14))+(E98*'5.Closing Stock &amp; W Capital'!$D$14))*$C$152*G$124</f>
        <v>0</v>
      </c>
      <c r="H166" s="95">
        <f>((G98*(1-'5.Closing Stock &amp; W Capital'!$D$14))+(F98*'5.Closing Stock &amp; W Capital'!$D$14))*$C$152*H$124</f>
        <v>0</v>
      </c>
      <c r="I166" s="95">
        <f>((H98*(1-'5.Closing Stock &amp; W Capital'!$D$14))+(G98*'5.Closing Stock &amp; W Capital'!$D$14))*$C$152*I$124</f>
        <v>0</v>
      </c>
      <c r="J166" s="95">
        <f>((I98*(1-'5.Closing Stock &amp; W Capital'!$D$14))+(H98*'5.Closing Stock &amp; W Capital'!$D$14))*$C$152*J$124</f>
        <v>0</v>
      </c>
      <c r="K166" s="93"/>
      <c r="U166" s="93"/>
      <c r="V166" s="93"/>
      <c r="W166" s="93"/>
    </row>
    <row r="167" spans="1:23">
      <c r="A167" s="94" t="str">
        <f t="shared" si="53"/>
        <v>Brinjal</v>
      </c>
      <c r="B167" s="94"/>
      <c r="C167" s="247"/>
      <c r="D167" s="95">
        <f>(C99*(1-'5.Closing Stock &amp; W Capital'!$D$14))*$C167*D$124</f>
        <v>0</v>
      </c>
      <c r="E167" s="95">
        <f>((D99*(1-'5.Closing Stock &amp; W Capital'!$D$14))+(C99*'5.Closing Stock &amp; W Capital'!$D$14))*$C167*E$124</f>
        <v>0</v>
      </c>
      <c r="F167" s="95">
        <f>((E99*(1-'5.Closing Stock &amp; W Capital'!$D$14))+(D99*'5.Closing Stock &amp; W Capital'!$D$14))*$C$152*F$124</f>
        <v>0</v>
      </c>
      <c r="G167" s="95">
        <f>((F99*(1-'5.Closing Stock &amp; W Capital'!$D$14))+(E99*'5.Closing Stock &amp; W Capital'!$D$14))*$C$152*G$124</f>
        <v>0</v>
      </c>
      <c r="H167" s="95">
        <f>((G99*(1-'5.Closing Stock &amp; W Capital'!$D$14))+(F99*'5.Closing Stock &amp; W Capital'!$D$14))*$C$152*H$124</f>
        <v>0</v>
      </c>
      <c r="I167" s="95">
        <f>((H99*(1-'5.Closing Stock &amp; W Capital'!$D$14))+(G99*'5.Closing Stock &amp; W Capital'!$D$14))*$C$152*I$124</f>
        <v>0</v>
      </c>
      <c r="J167" s="95">
        <f>((I99*(1-'5.Closing Stock &amp; W Capital'!$D$14))+(H99*'5.Closing Stock &amp; W Capital'!$D$14))*$C$152*J$124</f>
        <v>0</v>
      </c>
      <c r="K167" s="93"/>
      <c r="U167" s="93"/>
      <c r="V167" s="93"/>
      <c r="W167" s="93"/>
    </row>
    <row r="168" spans="1:23">
      <c r="A168" s="94">
        <f t="shared" si="53"/>
        <v>0</v>
      </c>
      <c r="B168" s="94"/>
      <c r="C168" s="247"/>
      <c r="D168" s="95">
        <f>(C100*(1-'5.Closing Stock &amp; W Capital'!$D$14))*$C168*D$124</f>
        <v>0</v>
      </c>
      <c r="E168" s="95">
        <f>((D100*(1-'5.Closing Stock &amp; W Capital'!$D$14))+(C100*'5.Closing Stock &amp; W Capital'!$D$14))*$C168*E$124</f>
        <v>0</v>
      </c>
      <c r="F168" s="95">
        <f>((E100*(1-'5.Closing Stock &amp; W Capital'!$D$14))+(D100*'5.Closing Stock &amp; W Capital'!$D$14))*$C$152*F$124</f>
        <v>0</v>
      </c>
      <c r="G168" s="95">
        <f>((F100*(1-'5.Closing Stock &amp; W Capital'!$D$14))+(E100*'5.Closing Stock &amp; W Capital'!$D$14))*$C$152*G$124</f>
        <v>0</v>
      </c>
      <c r="H168" s="95">
        <f>((G100*(1-'5.Closing Stock &amp; W Capital'!$D$14))+(F100*'5.Closing Stock &amp; W Capital'!$D$14))*$C$152*H$124</f>
        <v>0</v>
      </c>
      <c r="I168" s="95">
        <f>((H100*(1-'5.Closing Stock &amp; W Capital'!$D$14))+(G100*'5.Closing Stock &amp; W Capital'!$D$14))*$C$152*I$124</f>
        <v>0</v>
      </c>
      <c r="J168" s="95">
        <f>((I100*(1-'5.Closing Stock &amp; W Capital'!$D$14))+(H100*'5.Closing Stock &amp; W Capital'!$D$14))*$C$152*J$124</f>
        <v>0</v>
      </c>
      <c r="K168" s="93"/>
      <c r="U168" s="93"/>
      <c r="V168" s="93"/>
      <c r="W168" s="93"/>
    </row>
    <row r="169" spans="1:23">
      <c r="A169" s="94">
        <f t="shared" si="53"/>
        <v>0</v>
      </c>
      <c r="B169" s="94"/>
      <c r="C169" s="247"/>
      <c r="D169" s="95">
        <f>(C101*(1-'5.Closing Stock &amp; W Capital'!$D$14))*$C169*D$124</f>
        <v>0</v>
      </c>
      <c r="E169" s="95">
        <f>((D101*(1-'5.Closing Stock &amp; W Capital'!$D$14))+(C101*'5.Closing Stock &amp; W Capital'!$D$14))*$C169*E$124</f>
        <v>0</v>
      </c>
      <c r="F169" s="95">
        <f>((E101*(1-'5.Closing Stock &amp; W Capital'!$D$14))+(D101*'5.Closing Stock &amp; W Capital'!$D$14))*$C$152*F$124</f>
        <v>0</v>
      </c>
      <c r="G169" s="95">
        <f>((F101*(1-'5.Closing Stock &amp; W Capital'!$D$14))+(E101*'5.Closing Stock &amp; W Capital'!$D$14))*$C$152*G$124</f>
        <v>0</v>
      </c>
      <c r="H169" s="95">
        <f>((G101*(1-'5.Closing Stock &amp; W Capital'!$D$14))+(F101*'5.Closing Stock &amp; W Capital'!$D$14))*$C$152*H$124</f>
        <v>0</v>
      </c>
      <c r="I169" s="95">
        <f>((H101*(1-'5.Closing Stock &amp; W Capital'!$D$14))+(G101*'5.Closing Stock &amp; W Capital'!$D$14))*$C$152*I$124</f>
        <v>0</v>
      </c>
      <c r="J169" s="95">
        <f>((I101*(1-'5.Closing Stock &amp; W Capital'!$D$14))+(H101*'5.Closing Stock &amp; W Capital'!$D$14))*$C$152*J$124</f>
        <v>0</v>
      </c>
      <c r="K169" s="93"/>
      <c r="U169" s="93"/>
      <c r="V169" s="93"/>
      <c r="W169" s="93"/>
    </row>
    <row r="170" spans="1:23">
      <c r="A170" s="94">
        <f t="shared" si="53"/>
        <v>0</v>
      </c>
      <c r="B170" s="94"/>
      <c r="C170" s="247"/>
      <c r="D170" s="95">
        <f>(C102*(1-'5.Closing Stock &amp; W Capital'!$D$14))*$C170*D$124</f>
        <v>0</v>
      </c>
      <c r="E170" s="95">
        <f>((D102*(1-'5.Closing Stock &amp; W Capital'!$D$14))+(C102*'5.Closing Stock &amp; W Capital'!$D$14))*$C170*E$124</f>
        <v>0</v>
      </c>
      <c r="F170" s="95">
        <f>((E102*(1-'5.Closing Stock &amp; W Capital'!$D$14))+(D102*'5.Closing Stock &amp; W Capital'!$D$14))*$C$152*F$124</f>
        <v>0</v>
      </c>
      <c r="G170" s="95">
        <f>((F102*(1-'5.Closing Stock &amp; W Capital'!$D$14))+(E102*'5.Closing Stock &amp; W Capital'!$D$14))*$C$152*G$124</f>
        <v>0</v>
      </c>
      <c r="H170" s="95">
        <f>((G102*(1-'5.Closing Stock &amp; W Capital'!$D$14))+(F102*'5.Closing Stock &amp; W Capital'!$D$14))*$C$152*H$124</f>
        <v>0</v>
      </c>
      <c r="I170" s="95">
        <f>((H102*(1-'5.Closing Stock &amp; W Capital'!$D$14))+(G102*'5.Closing Stock &amp; W Capital'!$D$14))*$C$152*I$124</f>
        <v>0</v>
      </c>
      <c r="J170" s="95">
        <f>((I102*(1-'5.Closing Stock &amp; W Capital'!$D$14))+(H102*'5.Closing Stock &amp; W Capital'!$D$14))*$C$152*J$124</f>
        <v>0</v>
      </c>
      <c r="K170" s="93"/>
      <c r="U170" s="93"/>
      <c r="V170" s="93"/>
      <c r="W170" s="93"/>
    </row>
    <row r="171" spans="1:23">
      <c r="A171" s="94">
        <f t="shared" si="53"/>
        <v>0</v>
      </c>
      <c r="B171" s="94"/>
      <c r="C171" s="247"/>
      <c r="D171" s="95">
        <f>(C103*(1-'5.Closing Stock &amp; W Capital'!$D$14))*$C171*D$124</f>
        <v>0</v>
      </c>
      <c r="E171" s="95">
        <f>((D103*(1-'5.Closing Stock &amp; W Capital'!$D$14))+(C103*'5.Closing Stock &amp; W Capital'!$D$14))*$C171*E$124</f>
        <v>0</v>
      </c>
      <c r="F171" s="95">
        <f>((E103*(1-'5.Closing Stock &amp; W Capital'!$D$14))+(D103*'5.Closing Stock &amp; W Capital'!$D$14))*$C$152*F$124</f>
        <v>0</v>
      </c>
      <c r="G171" s="95">
        <f>((F103*(1-'5.Closing Stock &amp; W Capital'!$D$14))+(E103*'5.Closing Stock &amp; W Capital'!$D$14))*$C$152*G$124</f>
        <v>0</v>
      </c>
      <c r="H171" s="95">
        <f>((G103*(1-'5.Closing Stock &amp; W Capital'!$D$14))+(F103*'5.Closing Stock &amp; W Capital'!$D$14))*$C$152*H$124</f>
        <v>0</v>
      </c>
      <c r="I171" s="95">
        <f>((H103*(1-'5.Closing Stock &amp; W Capital'!$D$14))+(G103*'5.Closing Stock &amp; W Capital'!$D$14))*$C$152*I$124</f>
        <v>0</v>
      </c>
      <c r="J171" s="95">
        <f>((I103*(1-'5.Closing Stock &amp; W Capital'!$D$14))+(H103*'5.Closing Stock &amp; W Capital'!$D$14))*$C$152*J$124</f>
        <v>0</v>
      </c>
      <c r="K171" s="93"/>
      <c r="U171" s="93"/>
      <c r="V171" s="93"/>
      <c r="W171" s="93"/>
    </row>
    <row r="172" spans="1:23">
      <c r="A172" s="94">
        <f t="shared" si="53"/>
        <v>0</v>
      </c>
      <c r="B172" s="94"/>
      <c r="C172" s="247"/>
      <c r="D172" s="95">
        <f>(C104*(1-'5.Closing Stock &amp; W Capital'!$D$14))*$C172*D$124</f>
        <v>0</v>
      </c>
      <c r="E172" s="95">
        <f>((D104*(1-'5.Closing Stock &amp; W Capital'!$D$14))+(C104*'5.Closing Stock &amp; W Capital'!$D$14))*$C172*E$124</f>
        <v>0</v>
      </c>
      <c r="F172" s="95">
        <f>((E104*(1-'5.Closing Stock &amp; W Capital'!$D$14))+(D104*'5.Closing Stock &amp; W Capital'!$D$14))*$C$152*F$124</f>
        <v>0</v>
      </c>
      <c r="G172" s="95">
        <f>((F104*(1-'5.Closing Stock &amp; W Capital'!$D$14))+(E104*'5.Closing Stock &amp; W Capital'!$D$14))*$C$152*G$124</f>
        <v>0</v>
      </c>
      <c r="H172" s="95">
        <f>((G104*(1-'5.Closing Stock &amp; W Capital'!$D$14))+(F104*'5.Closing Stock &amp; W Capital'!$D$14))*$C$152*H$124</f>
        <v>0</v>
      </c>
      <c r="I172" s="95">
        <f>((H104*(1-'5.Closing Stock &amp; W Capital'!$D$14))+(G104*'5.Closing Stock &amp; W Capital'!$D$14))*$C$152*I$124</f>
        <v>0</v>
      </c>
      <c r="J172" s="95">
        <f>((I104*(1-'5.Closing Stock &amp; W Capital'!$D$14))+(H104*'5.Closing Stock &amp; W Capital'!$D$14))*$C$152*J$124</f>
        <v>0</v>
      </c>
      <c r="K172" s="93"/>
      <c r="U172" s="93"/>
      <c r="V172" s="93"/>
      <c r="W172" s="93"/>
    </row>
    <row r="173" spans="1:23">
      <c r="A173" s="94">
        <f t="shared" si="53"/>
        <v>0</v>
      </c>
      <c r="B173" s="94"/>
      <c r="C173" s="247"/>
      <c r="D173" s="95">
        <f>(C105*(1-'5.Closing Stock &amp; W Capital'!$D$14))*$C173*D$124</f>
        <v>0</v>
      </c>
      <c r="E173" s="95">
        <f>((D105*(1-'5.Closing Stock &amp; W Capital'!$D$14))+(C105*'5.Closing Stock &amp; W Capital'!$D$14))*$C173*E$124</f>
        <v>0</v>
      </c>
      <c r="F173" s="95">
        <f>((E105*(1-'5.Closing Stock &amp; W Capital'!$D$14))+(D105*'5.Closing Stock &amp; W Capital'!$D$14))*$C$152*F$124</f>
        <v>0</v>
      </c>
      <c r="G173" s="95">
        <f>((F105*(1-'5.Closing Stock &amp; W Capital'!$D$14))+(E105*'5.Closing Stock &amp; W Capital'!$D$14))*$C$152*G$124</f>
        <v>0</v>
      </c>
      <c r="H173" s="95">
        <f>((G105*(1-'5.Closing Stock &amp; W Capital'!$D$14))+(F105*'5.Closing Stock &amp; W Capital'!$D$14))*$C$152*H$124</f>
        <v>0</v>
      </c>
      <c r="I173" s="95">
        <f>((H105*(1-'5.Closing Stock &amp; W Capital'!$D$14))+(G105*'5.Closing Stock &amp; W Capital'!$D$14))*$C$152*I$124</f>
        <v>0</v>
      </c>
      <c r="J173" s="95">
        <f>((I105*(1-'5.Closing Stock &amp; W Capital'!$D$14))+(H105*'5.Closing Stock &amp; W Capital'!$D$14))*$C$152*J$124</f>
        <v>0</v>
      </c>
      <c r="K173" s="93"/>
      <c r="U173" s="93"/>
      <c r="V173" s="93"/>
      <c r="W173" s="93"/>
    </row>
    <row r="174" spans="1:23">
      <c r="A174" s="94">
        <f t="shared" si="53"/>
        <v>0</v>
      </c>
      <c r="B174" s="94"/>
      <c r="C174" s="247"/>
      <c r="D174" s="95">
        <f>(C106*(1-'5.Closing Stock &amp; W Capital'!$D$14))*$C174*D$124</f>
        <v>0</v>
      </c>
      <c r="E174" s="95">
        <f>((D106*(1-'5.Closing Stock &amp; W Capital'!$D$14))+(C106*'5.Closing Stock &amp; W Capital'!$D$14))*$C174*E$124</f>
        <v>0</v>
      </c>
      <c r="F174" s="95">
        <f>((E106*(1-'5.Closing Stock &amp; W Capital'!$D$14))+(D106*'5.Closing Stock &amp; W Capital'!$D$14))*$C$152*F$124</f>
        <v>0</v>
      </c>
      <c r="G174" s="95">
        <f>((F106*(1-'5.Closing Stock &amp; W Capital'!$D$14))+(E106*'5.Closing Stock &amp; W Capital'!$D$14))*$C$152*G$124</f>
        <v>0</v>
      </c>
      <c r="H174" s="95">
        <f>((G106*(1-'5.Closing Stock &amp; W Capital'!$D$14))+(F106*'5.Closing Stock &amp; W Capital'!$D$14))*$C$152*H$124</f>
        <v>0</v>
      </c>
      <c r="I174" s="95">
        <f>((H106*(1-'5.Closing Stock &amp; W Capital'!$D$14))+(G106*'5.Closing Stock &amp; W Capital'!$D$14))*$C$152*I$124</f>
        <v>0</v>
      </c>
      <c r="J174" s="95">
        <f>((I106*(1-'5.Closing Stock &amp; W Capital'!$D$14))+(H106*'5.Closing Stock &amp; W Capital'!$D$14))*$C$152*J$124</f>
        <v>0</v>
      </c>
      <c r="K174" s="93"/>
      <c r="U174" s="93"/>
      <c r="V174" s="93"/>
      <c r="W174" s="93"/>
    </row>
    <row r="175" spans="1:23">
      <c r="A175" s="94" t="str">
        <f t="shared" si="53"/>
        <v>Pomegranate</v>
      </c>
      <c r="B175" s="94"/>
      <c r="C175" s="247"/>
      <c r="D175" s="95">
        <f>(C107*(1-'5.Closing Stock &amp; W Capital'!$D$14))*$C175*D$124</f>
        <v>0</v>
      </c>
      <c r="E175" s="95">
        <f>((D107*(1-'5.Closing Stock &amp; W Capital'!$D$14))+(C107*'5.Closing Stock &amp; W Capital'!$D$14))*$C175*E$124</f>
        <v>0</v>
      </c>
      <c r="F175" s="95">
        <f>((E107*(1-'5.Closing Stock &amp; W Capital'!$D$14))+(D107*'5.Closing Stock &amp; W Capital'!$D$14))*$C$152*F$124</f>
        <v>0</v>
      </c>
      <c r="G175" s="95">
        <f>((F107*(1-'5.Closing Stock &amp; W Capital'!$D$14))+(E107*'5.Closing Stock &amp; W Capital'!$D$14))*$C$152*G$124</f>
        <v>0</v>
      </c>
      <c r="H175" s="95">
        <f>((G107*(1-'5.Closing Stock &amp; W Capital'!$D$14))+(F107*'5.Closing Stock &amp; W Capital'!$D$14))*$C$152*H$124</f>
        <v>0</v>
      </c>
      <c r="I175" s="95">
        <f>((H107*(1-'5.Closing Stock &amp; W Capital'!$D$14))+(G107*'5.Closing Stock &amp; W Capital'!$D$14))*$C$152*I$124</f>
        <v>0</v>
      </c>
      <c r="J175" s="95">
        <f>((I107*(1-'5.Closing Stock &amp; W Capital'!$D$14))+(H107*'5.Closing Stock &amp; W Capital'!$D$14))*$C$152*J$124</f>
        <v>0</v>
      </c>
      <c r="K175" s="93"/>
      <c r="U175" s="93"/>
      <c r="V175" s="93"/>
      <c r="W175" s="93"/>
    </row>
    <row r="176" spans="1:23">
      <c r="A176" s="94" t="str">
        <f t="shared" si="53"/>
        <v>Custard Apple</v>
      </c>
      <c r="B176" s="94"/>
      <c r="C176" s="247"/>
      <c r="D176" s="95">
        <f>(C108*(1-'5.Closing Stock &amp; W Capital'!$D$14))*$C176*D$124</f>
        <v>0</v>
      </c>
      <c r="E176" s="95">
        <f>((D108*(1-'5.Closing Stock &amp; W Capital'!$D$14))+(C108*'5.Closing Stock &amp; W Capital'!$D$14))*$C176*E$124</f>
        <v>0</v>
      </c>
      <c r="F176" s="95">
        <f>((E108*(1-'5.Closing Stock &amp; W Capital'!$D$14))+(D108*'5.Closing Stock &amp; W Capital'!$D$14))*$C$152*F$124</f>
        <v>0</v>
      </c>
      <c r="G176" s="95">
        <f>((F108*(1-'5.Closing Stock &amp; W Capital'!$D$14))+(E108*'5.Closing Stock &amp; W Capital'!$D$14))*$C$152*G$124</f>
        <v>0</v>
      </c>
      <c r="H176" s="95">
        <f>((G108*(1-'5.Closing Stock &amp; W Capital'!$D$14))+(F108*'5.Closing Stock &amp; W Capital'!$D$14))*$C$152*H$124</f>
        <v>0</v>
      </c>
      <c r="I176" s="95">
        <f>((H108*(1-'5.Closing Stock &amp; W Capital'!$D$14))+(G108*'5.Closing Stock &amp; W Capital'!$D$14))*$C$152*I$124</f>
        <v>0</v>
      </c>
      <c r="J176" s="95">
        <f>((I108*(1-'5.Closing Stock &amp; W Capital'!$D$14))+(H108*'5.Closing Stock &amp; W Capital'!$D$14))*$C$152*J$124</f>
        <v>0</v>
      </c>
      <c r="K176" s="93"/>
      <c r="U176" s="93"/>
      <c r="V176" s="93"/>
      <c r="W176" s="93"/>
    </row>
    <row r="177" spans="1:23">
      <c r="A177" s="94" t="str">
        <f t="shared" si="53"/>
        <v>Guava</v>
      </c>
      <c r="B177" s="94"/>
      <c r="C177" s="247"/>
      <c r="D177" s="95">
        <f>(C109*(1-'5.Closing Stock &amp; W Capital'!$D$14))*$C177*D$124</f>
        <v>0</v>
      </c>
      <c r="E177" s="95">
        <f>((D109*(1-'5.Closing Stock &amp; W Capital'!$D$14))+(C109*'5.Closing Stock &amp; W Capital'!$D$14))*$C177*E$124</f>
        <v>0</v>
      </c>
      <c r="F177" s="95">
        <f>((E109*(1-'5.Closing Stock &amp; W Capital'!$D$14))+(D109*'5.Closing Stock &amp; W Capital'!$D$14))*$C$152*F$124</f>
        <v>0</v>
      </c>
      <c r="G177" s="95">
        <f>((F109*(1-'5.Closing Stock &amp; W Capital'!$D$14))+(E109*'5.Closing Stock &amp; W Capital'!$D$14))*$C$152*G$124</f>
        <v>0</v>
      </c>
      <c r="H177" s="95">
        <f>((G109*(1-'5.Closing Stock &amp; W Capital'!$D$14))+(F109*'5.Closing Stock &amp; W Capital'!$D$14))*$C$152*H$124</f>
        <v>0</v>
      </c>
      <c r="I177" s="95">
        <f>((H109*(1-'5.Closing Stock &amp; W Capital'!$D$14))+(G109*'5.Closing Stock &amp; W Capital'!$D$14))*$C$152*I$124</f>
        <v>0</v>
      </c>
      <c r="J177" s="95">
        <f>((I109*(1-'5.Closing Stock &amp; W Capital'!$D$14))+(H109*'5.Closing Stock &amp; W Capital'!$D$14))*$C$152*J$124</f>
        <v>0</v>
      </c>
      <c r="K177" s="93"/>
      <c r="U177" s="93"/>
      <c r="V177" s="93"/>
      <c r="W177" s="93"/>
    </row>
    <row r="178" spans="1:23">
      <c r="A178" s="94" t="str">
        <f t="shared" si="53"/>
        <v>Citrus</v>
      </c>
      <c r="B178" s="94"/>
      <c r="C178" s="247"/>
      <c r="D178" s="95">
        <f>(C110*(1-'5.Closing Stock &amp; W Capital'!$D$14))*$C178*D$124</f>
        <v>0</v>
      </c>
      <c r="E178" s="95">
        <f>((D110*(1-'5.Closing Stock &amp; W Capital'!$D$14))+(C110*'5.Closing Stock &amp; W Capital'!$D$14))*$C178*E$124</f>
        <v>0</v>
      </c>
      <c r="F178" s="95">
        <f>((E110*(1-'5.Closing Stock &amp; W Capital'!$D$14))+(D110*'5.Closing Stock &amp; W Capital'!$D$14))*$C$152*F$124</f>
        <v>0</v>
      </c>
      <c r="G178" s="95">
        <f>((F110*(1-'5.Closing Stock &amp; W Capital'!$D$14))+(E110*'5.Closing Stock &amp; W Capital'!$D$14))*$C$152*G$124</f>
        <v>0</v>
      </c>
      <c r="H178" s="95">
        <f>((G110*(1-'5.Closing Stock &amp; W Capital'!$D$14))+(F110*'5.Closing Stock &amp; W Capital'!$D$14))*$C$152*H$124</f>
        <v>0</v>
      </c>
      <c r="I178" s="95">
        <f>((H110*(1-'5.Closing Stock &amp; W Capital'!$D$14))+(G110*'5.Closing Stock &amp; W Capital'!$D$14))*$C$152*I$124</f>
        <v>0</v>
      </c>
      <c r="J178" s="95">
        <f>((I110*(1-'5.Closing Stock &amp; W Capital'!$D$14))+(H110*'5.Closing Stock &amp; W Capital'!$D$14))*$C$152*J$124</f>
        <v>0</v>
      </c>
      <c r="K178" s="93"/>
      <c r="U178" s="93"/>
      <c r="V178" s="93"/>
      <c r="W178" s="93"/>
    </row>
    <row r="179" spans="1:23">
      <c r="A179" s="94">
        <f t="shared" si="53"/>
        <v>0</v>
      </c>
      <c r="B179" s="94"/>
      <c r="C179" s="247"/>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287</v>
      </c>
      <c r="B181" s="94"/>
      <c r="C181" s="95"/>
      <c r="D181" s="95"/>
      <c r="E181" s="95"/>
      <c r="F181" s="95"/>
      <c r="G181" s="95"/>
      <c r="H181" s="95"/>
      <c r="I181" s="95"/>
      <c r="J181" s="95"/>
      <c r="K181" s="93"/>
      <c r="U181" s="93"/>
      <c r="V181" s="93"/>
      <c r="W181" s="93"/>
    </row>
    <row r="182" spans="1:23">
      <c r="A182" s="94" t="s">
        <v>406</v>
      </c>
      <c r="B182" s="94"/>
      <c r="C182" s="247">
        <v>0</v>
      </c>
      <c r="D182" s="95">
        <f>(C114*(1-'5.Closing Stock &amp; W Capital'!$D$14))*$C$182*D124</f>
        <v>0</v>
      </c>
      <c r="E182" s="95">
        <f>((D114*(1-'5.Closing Stock &amp; W Capital'!$D$14))+(C114*'5.Closing Stock &amp; W Capital'!$D$14))*$C$182*E124</f>
        <v>0</v>
      </c>
      <c r="F182" s="95">
        <f>((E114*(1-'5.Closing Stock &amp; W Capital'!$D$14))+(D114*'5.Closing Stock &amp; W Capital'!$D$14))*$C$182*F124</f>
        <v>0</v>
      </c>
      <c r="G182" s="95">
        <f>((F114*(1-'5.Closing Stock &amp; W Capital'!$D$14))+(E114*'5.Closing Stock &amp; W Capital'!$D$14))*$C$182*G124</f>
        <v>0</v>
      </c>
      <c r="H182" s="95">
        <f>((G114*(1-'5.Closing Stock &amp; W Capital'!$D$14))+(F114*'5.Closing Stock &amp; W Capital'!$D$14))*$C$182*H124</f>
        <v>0</v>
      </c>
      <c r="I182" s="95">
        <f>((H114*(1-'5.Closing Stock &amp; W Capital'!$D$14))+(G114*'5.Closing Stock &amp; W Capital'!$D$14))*$C$182*I124</f>
        <v>0</v>
      </c>
      <c r="J182" s="95">
        <f>((I114*(1-'5.Closing Stock &amp; W Capital'!$D$14))+(H114*'5.Closing Stock &amp; W Capital'!$D$14))*$C$182*J124</f>
        <v>0</v>
      </c>
      <c r="K182" s="93"/>
      <c r="U182" s="93"/>
      <c r="V182" s="93"/>
      <c r="W182" s="93"/>
    </row>
    <row r="183" spans="1:23">
      <c r="A183" s="94" t="s">
        <v>177</v>
      </c>
      <c r="B183" s="94"/>
      <c r="C183" s="247">
        <v>0</v>
      </c>
      <c r="D183" s="95">
        <f>(C115*(1-'5.Closing Stock &amp; W Capital'!$D$14))*$C$183*D124</f>
        <v>0</v>
      </c>
      <c r="E183" s="95">
        <f>((D115*(1-'5.Closing Stock &amp; W Capital'!$D$14))+(C115*'5.Closing Stock &amp; W Capital'!$D$14))*$C$183*E124</f>
        <v>0</v>
      </c>
      <c r="F183" s="95">
        <f>((E115*(1-'5.Closing Stock &amp; W Capital'!$D$14))+(D115*'5.Closing Stock &amp; W Capital'!$D$14))*$C$183*F124</f>
        <v>0</v>
      </c>
      <c r="G183" s="95">
        <f>((F115*(1-'5.Closing Stock &amp; W Capital'!$D$14))+(E115*'5.Closing Stock &amp; W Capital'!$D$14))*$C$183*G124</f>
        <v>0</v>
      </c>
      <c r="H183" s="95">
        <f>((G115*(1-'5.Closing Stock &amp; W Capital'!$D$14))+(F115*'5.Closing Stock &amp; W Capital'!$D$14))*$C$183*H124</f>
        <v>0</v>
      </c>
      <c r="I183" s="95">
        <f>((H115*(1-'5.Closing Stock &amp; W Capital'!$D$14))+(G115*'5.Closing Stock &amp; W Capital'!$D$14))*$C$183*I124</f>
        <v>0</v>
      </c>
      <c r="J183" s="95">
        <f>((I115*(1-'5.Closing Stock &amp; W Capital'!$D$14))+(H115*'5.Closing Stock &amp; W Capital'!$D$14))*$C$183*J124</f>
        <v>0</v>
      </c>
      <c r="K183" s="93"/>
      <c r="U183" s="93"/>
      <c r="V183" s="93"/>
      <c r="W183" s="93"/>
    </row>
    <row r="184" spans="1:23">
      <c r="A184" s="94" t="s">
        <v>179</v>
      </c>
      <c r="B184" s="94"/>
      <c r="C184" s="247">
        <v>0</v>
      </c>
      <c r="D184" s="95">
        <f>(C116*(1-'5.Closing Stock &amp; W Capital'!$D$14))*$C$184*D124</f>
        <v>0</v>
      </c>
      <c r="E184" s="95">
        <f>((D116*(1-'5.Closing Stock &amp; W Capital'!$D$14))+(C116*'5.Closing Stock &amp; W Capital'!$D$14))*$C$184*E124</f>
        <v>0</v>
      </c>
      <c r="F184" s="95">
        <f>((E116*(1-'5.Closing Stock &amp; W Capital'!$D$14))+(D116*'5.Closing Stock &amp; W Capital'!$D$14))*$C$184*F124</f>
        <v>0</v>
      </c>
      <c r="G184" s="95">
        <f>((F116*(1-'5.Closing Stock &amp; W Capital'!$D$14))+(E116*'5.Closing Stock &amp; W Capital'!$D$14))*$C$184*G124</f>
        <v>0</v>
      </c>
      <c r="H184" s="95">
        <f>((G116*(1-'5.Closing Stock &amp; W Capital'!$D$14))+(F116*'5.Closing Stock &amp; W Capital'!$D$14))*$C$184*H124</f>
        <v>0</v>
      </c>
      <c r="I184" s="95">
        <f>((H116*(1-'5.Closing Stock &amp; W Capital'!$D$14))+(G116*'5.Closing Stock &amp; W Capital'!$D$14))*$C$184*I124</f>
        <v>0</v>
      </c>
      <c r="J184" s="95">
        <f>((I116*(1-'5.Closing Stock &amp; W Capital'!$D$14))+(H116*'5.Closing Stock &amp; W Capital'!$D$14))*$C$184*J124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178</v>
      </c>
      <c r="B186" s="94"/>
      <c r="C186" s="95"/>
      <c r="D186" s="95"/>
      <c r="E186" s="95"/>
      <c r="F186" s="95"/>
      <c r="G186" s="95"/>
      <c r="H186" s="95"/>
      <c r="I186" s="95"/>
      <c r="J186" s="95"/>
      <c r="K186" s="93"/>
      <c r="U186" s="93"/>
      <c r="V186" s="93"/>
      <c r="W186" s="93"/>
    </row>
    <row r="187" spans="1:23">
      <c r="A187" s="94" t="s">
        <v>184</v>
      </c>
      <c r="B187" s="94"/>
      <c r="C187" s="247">
        <v>0</v>
      </c>
      <c r="D187" s="95">
        <f>(C118*(1-'5.Closing Stock &amp; W Capital'!$D$14))*$C$187*D124</f>
        <v>0</v>
      </c>
      <c r="E187" s="95">
        <f>((D118*(1-'5.Closing Stock &amp; W Capital'!$D$14))+(C118*'5.Closing Stock &amp; W Capital'!$D$14))*$C$187*E124</f>
        <v>0</v>
      </c>
      <c r="F187" s="95">
        <f>((E118*(1-'5.Closing Stock &amp; W Capital'!$D$14))+(D118*'5.Closing Stock &amp; W Capital'!$D$14))*$C$187*F124</f>
        <v>0</v>
      </c>
      <c r="G187" s="95">
        <f>((F118*(1-'5.Closing Stock &amp; W Capital'!$D$14))+(E118*'5.Closing Stock &amp; W Capital'!$D$14))*$C$187*G124</f>
        <v>0</v>
      </c>
      <c r="H187" s="95">
        <f>((G118*(1-'5.Closing Stock &amp; W Capital'!$D$14))+(F118*'5.Closing Stock &amp; W Capital'!$D$14))*$C$187*H124</f>
        <v>0</v>
      </c>
      <c r="I187" s="95">
        <f>((H118*(1-'5.Closing Stock &amp; W Capital'!$D$14))+(G118*'5.Closing Stock &amp; W Capital'!$D$14))*$C$187*I124</f>
        <v>0</v>
      </c>
      <c r="J187" s="95">
        <f>((I118*(1-'5.Closing Stock &amp; W Capital'!$D$14))+(H118*'5.Closing Stock &amp; W Capital'!$D$14))*$C$187*J124</f>
        <v>0</v>
      </c>
      <c r="K187" s="93"/>
      <c r="U187" s="206"/>
      <c r="V187" s="206"/>
      <c r="W187" s="206"/>
    </row>
    <row r="188" spans="1:23">
      <c r="A188" s="94" t="s">
        <v>185</v>
      </c>
      <c r="B188" s="94"/>
      <c r="C188" s="247">
        <v>0</v>
      </c>
      <c r="D188" s="95">
        <f>(C119*(1-'5.Closing Stock &amp; W Capital'!$D$14))*$C$188*D124</f>
        <v>0</v>
      </c>
      <c r="E188" s="95">
        <f>((D119*(1-'5.Closing Stock &amp; W Capital'!$D$14))+(C119*'5.Closing Stock &amp; W Capital'!$D$14))*$C$188*E124</f>
        <v>0</v>
      </c>
      <c r="F188" s="95">
        <f>((E119*(1-'5.Closing Stock &amp; W Capital'!$D$14))+(D119*'5.Closing Stock &amp; W Capital'!$D$14))*$C$188*F124</f>
        <v>0</v>
      </c>
      <c r="G188" s="95">
        <f>((F119*(1-'5.Closing Stock &amp; W Capital'!$D$14))+(E119*'5.Closing Stock &amp; W Capital'!$D$14))*$C$188*G124</f>
        <v>0</v>
      </c>
      <c r="H188" s="95">
        <f>((G119*(1-'5.Closing Stock &amp; W Capital'!$D$14))+(F119*'5.Closing Stock &amp; W Capital'!$D$14))*$C$188*H124</f>
        <v>0</v>
      </c>
      <c r="I188" s="95">
        <f>((H119*(1-'5.Closing Stock &amp; W Capital'!$D$14))+(G119*'5.Closing Stock &amp; W Capital'!$D$14))*$C$188*I124</f>
        <v>0</v>
      </c>
      <c r="J188" s="95">
        <f>((I119*(1-'5.Closing Stock &amp; W Capital'!$D$14))+(H119*'5.Closing Stock &amp; W Capital'!$D$14))*$C$188*J124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142</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141</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312</v>
      </c>
      <c r="B196" s="93"/>
      <c r="C196" s="93"/>
      <c r="D196" s="93"/>
      <c r="E196" s="93"/>
      <c r="F196" s="93"/>
      <c r="G196" s="93"/>
      <c r="H196" s="93"/>
      <c r="I196" s="93"/>
      <c r="J196" s="93"/>
      <c r="K196" s="93"/>
      <c r="U196" s="93"/>
      <c r="V196" s="93"/>
      <c r="W196" s="93"/>
    </row>
    <row r="197" spans="1:23">
      <c r="A197" s="94" t="str">
        <f t="shared" ref="A197:A238" si="55">A130</f>
        <v>Soybean</v>
      </c>
      <c r="B197" s="93"/>
      <c r="C197" s="247">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Tur</v>
      </c>
      <c r="B198" s="94"/>
      <c r="C198" s="247">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Turmeric</v>
      </c>
      <c r="B199" s="94"/>
      <c r="C199" s="247">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Moong</v>
      </c>
      <c r="B200" s="94"/>
      <c r="C200" s="247">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7">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Udid</v>
      </c>
      <c r="B202" s="94"/>
      <c r="C202" s="247">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7">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7">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7"/>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7">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Channa</v>
      </c>
      <c r="B207" s="94"/>
      <c r="C207" s="247">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7">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7">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7">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t="str">
        <f t="shared" si="55"/>
        <v>Groundnut</v>
      </c>
      <c r="B211" s="94"/>
      <c r="C211" s="247"/>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7"/>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7"/>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7"/>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Soybean</v>
      </c>
      <c r="B215" s="94"/>
      <c r="C215" s="247"/>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f t="shared" si="55"/>
        <v>0</v>
      </c>
      <c r="B216" s="94"/>
      <c r="C216" s="247"/>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7"/>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7"/>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7"/>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7"/>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7"/>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7"/>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7"/>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7"/>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7"/>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7"/>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7"/>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7"/>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7"/>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7"/>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7"/>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7"/>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7"/>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7"/>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7"/>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7"/>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7"/>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7"/>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7"/>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7"/>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7"/>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7"/>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7">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7">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7">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7">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7">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291</v>
      </c>
      <c r="B253" s="94"/>
      <c r="C253" s="247">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170</v>
      </c>
      <c r="B254" s="94"/>
      <c r="C254" s="247">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7"/>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7"/>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7"/>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7"/>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341</v>
      </c>
      <c r="B259" s="94"/>
      <c r="C259" s="95"/>
      <c r="D259" s="207"/>
      <c r="E259" s="95">
        <f>'5.Closing Stock &amp; W Capital'!F5</f>
        <v>0</v>
      </c>
      <c r="F259" s="95">
        <f>'5.Closing Stock &amp; W Capital'!G5</f>
        <v>0</v>
      </c>
      <c r="G259" s="95">
        <f>'5.Closing Stock &amp; W Capital'!H5</f>
        <v>0</v>
      </c>
      <c r="H259" s="95">
        <f>'5.Closing Stock &amp; W Capital'!I5</f>
        <v>0</v>
      </c>
      <c r="I259" s="95">
        <f>'5.Closing Stock &amp; W Capital'!J5</f>
        <v>0</v>
      </c>
      <c r="J259" s="95">
        <f>'5.Closing Stock &amp; W Capital'!K5</f>
        <v>0</v>
      </c>
      <c r="K259" s="93"/>
      <c r="L259" s="93"/>
      <c r="M259" s="93"/>
      <c r="N259" s="93"/>
      <c r="O259" s="93"/>
      <c r="P259" s="93"/>
      <c r="Q259" s="93"/>
      <c r="R259" s="93"/>
      <c r="S259" s="93"/>
      <c r="T259" s="93"/>
      <c r="U259" s="93"/>
      <c r="V259" s="93"/>
      <c r="W259" s="93"/>
    </row>
    <row r="260" spans="1:23">
      <c r="A260" s="98" t="s">
        <v>342</v>
      </c>
      <c r="B260" s="94"/>
      <c r="C260" s="94"/>
      <c r="D260" s="207">
        <f>'5.Closing Stock &amp; W Capital'!E14</f>
        <v>0</v>
      </c>
      <c r="E260" s="95">
        <f>'5.Closing Stock &amp; W Capital'!F14</f>
        <v>0</v>
      </c>
      <c r="F260" s="95">
        <f>'5.Closing Stock &amp; W Capital'!G14</f>
        <v>0</v>
      </c>
      <c r="G260" s="95">
        <f>'5.Closing Stock &amp; W Capital'!H14</f>
        <v>0</v>
      </c>
      <c r="H260" s="95">
        <f>'5.Closing Stock &amp; W Capital'!I14</f>
        <v>0</v>
      </c>
      <c r="I260" s="95">
        <f>'5.Closing Stock &amp; W Capital'!J14</f>
        <v>0</v>
      </c>
      <c r="J260" s="95">
        <f>'5.Closing Stock &amp; W Capital'!K14</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319</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324</v>
      </c>
      <c r="B265" s="94">
        <v>12</v>
      </c>
      <c r="C265" s="247"/>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325</v>
      </c>
      <c r="B266" s="229">
        <v>1</v>
      </c>
      <c r="C266" s="247"/>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191</v>
      </c>
      <c r="B267" s="229">
        <v>1</v>
      </c>
      <c r="C267" s="247"/>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326</v>
      </c>
      <c r="B268" s="94">
        <v>12</v>
      </c>
      <c r="C268" s="247"/>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7"/>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7"/>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7"/>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7"/>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323</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135</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15" t="s">
        <v>420</v>
      </c>
      <c r="B279" s="415"/>
      <c r="C279" s="415"/>
      <c r="D279" s="415"/>
      <c r="E279" s="415"/>
      <c r="F279" s="415"/>
      <c r="G279" s="415"/>
      <c r="H279" s="415"/>
      <c r="I279" s="415"/>
      <c r="J279" s="415"/>
    </row>
    <row r="281" spans="1:23">
      <c r="A281" t="s">
        <v>536</v>
      </c>
    </row>
    <row r="282" spans="1:23">
      <c r="A282">
        <v>1</v>
      </c>
      <c r="B282" t="s">
        <v>547</v>
      </c>
    </row>
    <row r="283" spans="1:23">
      <c r="A283">
        <v>2</v>
      </c>
      <c r="B283" t="s">
        <v>548</v>
      </c>
    </row>
    <row r="284" spans="1:23">
      <c r="A284">
        <v>3</v>
      </c>
      <c r="B284" s="93" t="s">
        <v>588</v>
      </c>
    </row>
  </sheetData>
  <mergeCells count="3">
    <mergeCell ref="A122:J122"/>
    <mergeCell ref="A2:I2"/>
    <mergeCell ref="A279:J279"/>
  </mergeCells>
  <pageMargins left="0.7" right="0.7" top="0.75" bottom="0.75" header="0.3" footer="0.3"/>
  <pageSetup scale="54" orientation="portrait" r:id="rId1"/>
  <rowBreaks count="2" manualBreakCount="2">
    <brk id="84" max="9" man="1"/>
    <brk id="238" max="9"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zoomScale="80" zoomScaleSheetLayoutView="80" workbookViewId="0">
      <selection activeCell="A4" sqref="A4:H4"/>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14" t="s">
        <v>583</v>
      </c>
      <c r="B3" s="414"/>
      <c r="C3" s="414"/>
      <c r="D3" s="414"/>
      <c r="E3" s="414"/>
      <c r="F3" s="414"/>
      <c r="G3" s="414"/>
      <c r="H3" s="414"/>
    </row>
    <row r="4" spans="1:8" ht="18.75">
      <c r="A4" s="414" t="s">
        <v>584</v>
      </c>
      <c r="B4" s="414"/>
      <c r="C4" s="414"/>
      <c r="D4" s="414"/>
      <c r="E4" s="414"/>
      <c r="F4" s="414"/>
      <c r="G4" s="414"/>
      <c r="H4" s="414"/>
    </row>
    <row r="5" spans="1:8">
      <c r="A5" s="93" t="s">
        <v>159</v>
      </c>
      <c r="B5" s="240">
        <v>1</v>
      </c>
      <c r="C5" s="93" t="s">
        <v>474</v>
      </c>
      <c r="D5" s="93"/>
      <c r="E5" s="93"/>
      <c r="F5" s="93"/>
      <c r="G5" s="93"/>
      <c r="H5" s="93"/>
    </row>
    <row r="6" spans="1:8">
      <c r="A6" s="93" t="s">
        <v>160</v>
      </c>
      <c r="B6" s="267">
        <v>8</v>
      </c>
      <c r="C6" s="93"/>
      <c r="D6" s="93"/>
      <c r="E6" s="93"/>
      <c r="F6" s="93"/>
      <c r="G6" s="93"/>
      <c r="H6" s="93"/>
    </row>
    <row r="7" spans="1:8">
      <c r="A7" s="93"/>
      <c r="B7" s="267"/>
      <c r="C7" s="93"/>
      <c r="D7" s="93"/>
      <c r="E7" s="93"/>
      <c r="F7" s="93"/>
      <c r="G7" s="93"/>
      <c r="H7" s="93"/>
    </row>
    <row r="8" spans="1:8">
      <c r="A8" s="93"/>
      <c r="B8" s="267"/>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167</v>
      </c>
      <c r="H11" s="83" t="s">
        <v>166</v>
      </c>
    </row>
    <row r="12" spans="1:8">
      <c r="A12" s="94" t="s">
        <v>168</v>
      </c>
      <c r="B12" s="301">
        <f t="shared" ref="B12:H12" si="0">B39/($B$5*$B$6)</f>
        <v>0</v>
      </c>
      <c r="C12" s="301">
        <f t="shared" si="0"/>
        <v>0</v>
      </c>
      <c r="D12" s="301">
        <f t="shared" si="0"/>
        <v>0</v>
      </c>
      <c r="E12" s="301">
        <f t="shared" si="0"/>
        <v>0</v>
      </c>
      <c r="F12" s="301">
        <f t="shared" si="0"/>
        <v>0</v>
      </c>
      <c r="G12" s="301">
        <f t="shared" si="0"/>
        <v>0</v>
      </c>
      <c r="H12" s="301">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465</v>
      </c>
      <c r="B39" s="94">
        <f>SUM(B13:B37)</f>
        <v>0</v>
      </c>
      <c r="C39" s="94">
        <f t="shared" ref="C39:H39" si="1">SUM(C13:C37)</f>
        <v>0</v>
      </c>
      <c r="D39" s="94">
        <f t="shared" si="1"/>
        <v>0</v>
      </c>
      <c r="E39" s="94">
        <f t="shared" si="1"/>
        <v>0</v>
      </c>
      <c r="F39" s="94">
        <f t="shared" si="1"/>
        <v>0</v>
      </c>
      <c r="G39" s="94">
        <f t="shared" si="1"/>
        <v>0</v>
      </c>
      <c r="H39" s="94">
        <f t="shared" si="1"/>
        <v>0</v>
      </c>
    </row>
    <row r="40" spans="1:8">
      <c r="A40" s="311" t="s">
        <v>163</v>
      </c>
      <c r="B40" s="266">
        <v>0.5</v>
      </c>
      <c r="C40" s="266">
        <v>0.5</v>
      </c>
      <c r="D40" s="266">
        <v>0.5</v>
      </c>
      <c r="E40" s="266">
        <f t="shared" ref="E40:H40" si="2">D40</f>
        <v>0.5</v>
      </c>
      <c r="F40" s="266">
        <f t="shared" si="2"/>
        <v>0.5</v>
      </c>
      <c r="G40" s="266">
        <f t="shared" si="2"/>
        <v>0.5</v>
      </c>
      <c r="H40" s="266">
        <f t="shared" si="2"/>
        <v>0.5</v>
      </c>
    </row>
    <row r="41" spans="1:8">
      <c r="A41" s="98" t="s">
        <v>475</v>
      </c>
      <c r="B41" s="312">
        <f>1-B40</f>
        <v>0.5</v>
      </c>
      <c r="C41" s="312">
        <f t="shared" ref="C41:H41" si="3">1-C40</f>
        <v>0.5</v>
      </c>
      <c r="D41" s="312">
        <f t="shared" si="3"/>
        <v>0.5</v>
      </c>
      <c r="E41" s="312">
        <f t="shared" si="3"/>
        <v>0.5</v>
      </c>
      <c r="F41" s="312">
        <f t="shared" si="3"/>
        <v>0.5</v>
      </c>
      <c r="G41" s="312">
        <f t="shared" si="3"/>
        <v>0.5</v>
      </c>
      <c r="H41" s="312">
        <f t="shared" si="3"/>
        <v>0.5</v>
      </c>
    </row>
    <row r="42" spans="1:8">
      <c r="A42" s="96" t="s">
        <v>163</v>
      </c>
      <c r="B42" s="250">
        <v>100</v>
      </c>
      <c r="C42" s="250">
        <f t="shared" ref="C42:H42" si="4">C39*C40</f>
        <v>0</v>
      </c>
      <c r="D42" s="250">
        <f t="shared" si="4"/>
        <v>0</v>
      </c>
      <c r="E42" s="250">
        <f t="shared" si="4"/>
        <v>0</v>
      </c>
      <c r="F42" s="250">
        <f t="shared" si="4"/>
        <v>0</v>
      </c>
      <c r="G42" s="250">
        <f t="shared" si="4"/>
        <v>0</v>
      </c>
      <c r="H42" s="250">
        <f t="shared" si="4"/>
        <v>0</v>
      </c>
    </row>
    <row r="43" spans="1:8">
      <c r="A43" s="96" t="s">
        <v>164</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285</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522</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520</v>
      </c>
      <c r="B125" s="95">
        <f>(B$62*50%)*0.7*2</f>
        <v>0</v>
      </c>
      <c r="C125" s="95">
        <f>(C$62*50%)*0.7</f>
        <v>0</v>
      </c>
      <c r="D125" s="95">
        <f t="shared" si="18"/>
        <v>0</v>
      </c>
      <c r="E125" s="95">
        <f t="shared" si="18"/>
        <v>0</v>
      </c>
      <c r="F125" s="95">
        <f t="shared" si="18"/>
        <v>0</v>
      </c>
      <c r="G125" s="95">
        <f t="shared" si="18"/>
        <v>0</v>
      </c>
      <c r="H125" s="95">
        <f t="shared" si="18"/>
        <v>0</v>
      </c>
    </row>
    <row r="126" spans="1:8">
      <c r="A126" s="94" t="s">
        <v>521</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94"/>
      <c r="C139" s="294"/>
      <c r="D139" s="294"/>
      <c r="E139" s="294"/>
      <c r="F139" s="294"/>
      <c r="G139" s="294"/>
      <c r="H139" s="294"/>
    </row>
    <row r="140" spans="1:8">
      <c r="A140" s="186" t="s">
        <v>452</v>
      </c>
    </row>
    <row r="141" spans="1:8">
      <c r="A141" t="s">
        <v>525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526</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527</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14" t="s">
        <v>585</v>
      </c>
      <c r="B147" s="414"/>
      <c r="C147" s="414"/>
      <c r="D147" s="414"/>
      <c r="E147" s="414"/>
      <c r="F147" s="414"/>
      <c r="G147" s="414"/>
      <c r="H147" s="414"/>
      <c r="I147" s="414"/>
      <c r="J147" s="414"/>
    </row>
    <row r="148" spans="1:10">
      <c r="A148" s="306"/>
      <c r="B148" s="306"/>
      <c r="C148" s="306"/>
      <c r="D148" s="306"/>
      <c r="E148" s="306"/>
      <c r="F148" s="306"/>
      <c r="G148" s="306"/>
      <c r="H148" s="306"/>
    </row>
    <row r="149" spans="1:10">
      <c r="A149" s="309"/>
      <c r="B149" s="309"/>
      <c r="C149" s="309"/>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132</v>
      </c>
      <c r="C151" s="147" t="s">
        <v>151</v>
      </c>
      <c r="D151" s="119" t="s">
        <v>2</v>
      </c>
      <c r="E151" s="119" t="s">
        <v>3</v>
      </c>
      <c r="F151" s="119" t="s">
        <v>4</v>
      </c>
      <c r="G151" s="119" t="s">
        <v>5</v>
      </c>
      <c r="H151" s="119" t="s">
        <v>6</v>
      </c>
      <c r="I151" s="119" t="s">
        <v>167</v>
      </c>
      <c r="J151" s="119" t="s">
        <v>166</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9" t="s">
        <v>524</v>
      </c>
      <c r="C154" s="229">
        <v>150</v>
      </c>
      <c r="D154" s="95">
        <f>(B141*(1-'5.Closing Stock &amp; W Capital'!$D$17)*$C154*D$149)</f>
        <v>0</v>
      </c>
      <c r="E154" s="95">
        <f>(((C141*(1-'5.Closing Stock &amp; W Capital'!$D$17))+(B141*'5.Closing Stock &amp; W Capital'!$D$17))*$C154*E$149)</f>
        <v>0</v>
      </c>
      <c r="F154" s="95">
        <f>(((D141*(1-'5.Closing Stock &amp; W Capital'!$D$17))+(C141*'5.Closing Stock &amp; W Capital'!$D$17))*$C154*F$149)</f>
        <v>0</v>
      </c>
      <c r="G154" s="95">
        <f>(((E141*(1-'5.Closing Stock &amp; W Capital'!$D$17))+(D141*'5.Closing Stock &amp; W Capital'!$D$17))*$C154*G$149)</f>
        <v>0</v>
      </c>
      <c r="H154" s="95">
        <f>(((F141*(1-'5.Closing Stock &amp; W Capital'!$D$17))+(E141*'5.Closing Stock &amp; W Capital'!$D$17))*$C154*H$149)</f>
        <v>0</v>
      </c>
      <c r="I154" s="95">
        <f>(((G141*(1-'5.Closing Stock &amp; W Capital'!$D$17))+(F141*'5.Closing Stock &amp; W Capital'!$D$17))*$C154*I$149)</f>
        <v>0</v>
      </c>
      <c r="J154" s="95">
        <f>(((H141*(1-'5.Closing Stock &amp; W Capital'!$D$17))+(G141*'5.Closing Stock &amp; W Capital'!$D$17))*$C154*J$149)</f>
        <v>0</v>
      </c>
    </row>
    <row r="155" spans="1:10">
      <c r="A155" s="94" t="str">
        <f>A125</f>
        <v>Pomegranate Juice</v>
      </c>
      <c r="B155" s="229" t="s">
        <v>523</v>
      </c>
      <c r="C155" s="229">
        <v>40</v>
      </c>
      <c r="D155" s="95">
        <f>(B142*(1-'5.Closing Stock &amp; W Capital'!$D$17)*$C155*D$149)</f>
        <v>0</v>
      </c>
      <c r="E155" s="95">
        <f>(((C142*(1-'5.Closing Stock &amp; W Capital'!$D$17))+(B142*'5.Closing Stock &amp; W Capital'!$D$17))*$C155*E$149)</f>
        <v>0</v>
      </c>
      <c r="F155" s="95">
        <f>(((D142*(1-'5.Closing Stock &amp; W Capital'!$D$17))+(C142*'5.Closing Stock &amp; W Capital'!$D$17))*$C155*F$149)</f>
        <v>0</v>
      </c>
      <c r="G155" s="95">
        <f>(((E142*(1-'5.Closing Stock &amp; W Capital'!$D$17))+(D142*'5.Closing Stock &amp; W Capital'!$D$17))*$C155*G$149)</f>
        <v>0</v>
      </c>
      <c r="H155" s="95">
        <f>(((F142*(1-'5.Closing Stock &amp; W Capital'!$D$17))+(E142*'5.Closing Stock &amp; W Capital'!$D$17))*$C155*H$149)</f>
        <v>0</v>
      </c>
      <c r="I155" s="95">
        <f>(((G142*(1-'5.Closing Stock &amp; W Capital'!$D$17))+(F142*'5.Closing Stock &amp; W Capital'!$D$17))*$C155*I$149)</f>
        <v>0</v>
      </c>
      <c r="J155" s="95">
        <f>(((H142*(1-'5.Closing Stock &amp; W Capital'!$D$17))+(G142*'5.Closing Stock &amp; W Capital'!$D$17))*$C155*J$149)</f>
        <v>0</v>
      </c>
    </row>
    <row r="156" spans="1:10">
      <c r="A156" s="94" t="str">
        <f>A126</f>
        <v>Pomegranate Powder</v>
      </c>
      <c r="B156" s="229" t="s">
        <v>360</v>
      </c>
      <c r="C156" s="229">
        <v>50</v>
      </c>
      <c r="D156" s="95">
        <f>(B143*(1-'5.Closing Stock &amp; W Capital'!$D$17)*$C156*D$149)</f>
        <v>0</v>
      </c>
      <c r="E156" s="95">
        <f>(((C143*(1-'5.Closing Stock &amp; W Capital'!$D$17))+(B143*'5.Closing Stock &amp; W Capital'!$D$17))*$C156*E$149)</f>
        <v>0</v>
      </c>
      <c r="F156" s="95">
        <f>(((D143*(1-'5.Closing Stock &amp; W Capital'!$D$17))+(C143*'5.Closing Stock &amp; W Capital'!$D$17))*$C156*F$149)</f>
        <v>0</v>
      </c>
      <c r="G156" s="95">
        <f>(((E143*(1-'5.Closing Stock &amp; W Capital'!$D$17))+(D143*'5.Closing Stock &amp; W Capital'!$D$17))*$C156*G$149)</f>
        <v>0</v>
      </c>
      <c r="H156" s="95">
        <f>(((F143*(1-'5.Closing Stock &amp; W Capital'!$D$17))+(E143*'5.Closing Stock &amp; W Capital'!$D$17))*$C156*H$149)</f>
        <v>0</v>
      </c>
      <c r="I156" s="95">
        <f>(((G143*(1-'5.Closing Stock &amp; W Capital'!$D$17))+(F143*'5.Closing Stock &amp; W Capital'!$D$17))*$C156*I$149)</f>
        <v>0</v>
      </c>
      <c r="J156" s="95">
        <f>(((H143*(1-'5.Closing Stock &amp; W Capital'!$D$17))+(G143*'5.Closing Stock &amp; W Capital'!$D$17))*$C156*J$149)</f>
        <v>0</v>
      </c>
    </row>
    <row r="157" spans="1:10">
      <c r="A157" s="94"/>
      <c r="B157" s="229"/>
      <c r="C157" s="229"/>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141</v>
      </c>
      <c r="B161" s="96"/>
      <c r="C161" s="96"/>
      <c r="D161" s="95"/>
      <c r="E161" s="95"/>
      <c r="F161" s="95"/>
      <c r="G161" s="95"/>
      <c r="H161" s="95"/>
      <c r="I161" s="95"/>
      <c r="J161" s="95"/>
    </row>
    <row r="162" spans="1:10">
      <c r="A162" s="96" t="s">
        <v>312</v>
      </c>
      <c r="B162" s="96"/>
      <c r="C162" s="94"/>
      <c r="D162" s="95"/>
      <c r="E162" s="95"/>
      <c r="F162" s="95"/>
      <c r="G162" s="95"/>
      <c r="H162" s="95"/>
      <c r="I162" s="95"/>
      <c r="J162" s="95"/>
    </row>
    <row r="163" spans="1:10">
      <c r="A163" s="98" t="s">
        <v>528</v>
      </c>
      <c r="B163" s="229" t="s">
        <v>361</v>
      </c>
      <c r="C163" s="247">
        <v>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529</v>
      </c>
      <c r="B164" s="229" t="s">
        <v>361</v>
      </c>
      <c r="C164" s="229">
        <v>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318</v>
      </c>
      <c r="B165" s="229">
        <v>5</v>
      </c>
      <c r="C165" s="229">
        <v>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143</v>
      </c>
      <c r="B166" s="94">
        <f>'2.Capex Details'!H72*0.746*8</f>
        <v>0</v>
      </c>
      <c r="C166" s="229">
        <v>0</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361</v>
      </c>
      <c r="C167" s="229">
        <v>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8">
        <v>0</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9">
        <v>0</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341</v>
      </c>
      <c r="B174" s="95"/>
      <c r="C174" s="95"/>
      <c r="D174" s="95"/>
      <c r="E174" s="95">
        <v>0</v>
      </c>
      <c r="F174" s="95">
        <v>0</v>
      </c>
      <c r="G174" s="95">
        <v>0</v>
      </c>
      <c r="H174" s="95">
        <v>0</v>
      </c>
      <c r="I174" s="95">
        <v>0</v>
      </c>
      <c r="J174" s="95">
        <v>0</v>
      </c>
    </row>
    <row r="175" spans="1:10">
      <c r="A175" s="194" t="s">
        <v>342</v>
      </c>
      <c r="B175" s="95"/>
      <c r="C175" s="95"/>
      <c r="D175" s="95">
        <v>0</v>
      </c>
      <c r="E175" s="95">
        <v>0</v>
      </c>
      <c r="F175" s="95">
        <v>0</v>
      </c>
      <c r="G175" s="95">
        <v>0</v>
      </c>
      <c r="H175" s="95">
        <v>0</v>
      </c>
      <c r="I175" s="95">
        <v>0</v>
      </c>
      <c r="J175" s="95">
        <v>0</v>
      </c>
    </row>
    <row r="176" spans="1:10">
      <c r="A176" s="95"/>
      <c r="B176" s="95"/>
      <c r="C176" s="95"/>
      <c r="D176" s="95"/>
      <c r="E176" s="95"/>
      <c r="F176" s="95"/>
      <c r="G176" s="95"/>
      <c r="H176" s="95"/>
      <c r="I176" s="95"/>
      <c r="J176" s="95"/>
    </row>
    <row r="177" spans="1:10">
      <c r="A177" s="114" t="s">
        <v>319</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186</v>
      </c>
      <c r="B180" s="229">
        <v>1</v>
      </c>
      <c r="C180" s="247"/>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191</v>
      </c>
      <c r="B181" s="229">
        <v>2</v>
      </c>
      <c r="C181" s="247"/>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9"/>
      <c r="C182" s="247"/>
      <c r="D182" s="95"/>
      <c r="E182" s="95"/>
      <c r="F182" s="95"/>
      <c r="G182" s="95"/>
      <c r="H182" s="95"/>
      <c r="I182" s="95"/>
      <c r="J182" s="95"/>
    </row>
    <row r="183" spans="1:10">
      <c r="A183" s="94"/>
      <c r="B183" s="229"/>
      <c r="C183" s="247"/>
      <c r="D183" s="95"/>
      <c r="E183" s="95"/>
      <c r="F183" s="95"/>
      <c r="G183" s="95"/>
      <c r="H183" s="95"/>
      <c r="I183" s="95"/>
      <c r="J183" s="95"/>
    </row>
    <row r="184" spans="1:10">
      <c r="A184" s="94"/>
      <c r="B184" s="229"/>
      <c r="C184" s="247"/>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15" t="s">
        <v>423</v>
      </c>
      <c r="B192" s="415"/>
      <c r="C192" s="415"/>
      <c r="D192" s="415"/>
      <c r="E192" s="415"/>
      <c r="F192" s="415"/>
      <c r="G192" s="415"/>
      <c r="H192" s="415"/>
      <c r="I192" s="415"/>
      <c r="J192" s="415"/>
    </row>
    <row r="194" spans="1:5">
      <c r="A194" t="s">
        <v>536</v>
      </c>
    </row>
    <row r="195" spans="1:5">
      <c r="A195">
        <v>1</v>
      </c>
      <c r="B195" t="s">
        <v>547</v>
      </c>
    </row>
    <row r="196" spans="1:5">
      <c r="A196">
        <v>2</v>
      </c>
      <c r="B196" t="s">
        <v>548</v>
      </c>
      <c r="C196" s="67"/>
      <c r="D196" s="67"/>
      <c r="E196" s="67"/>
    </row>
    <row r="197" spans="1:5">
      <c r="A197">
        <v>3</v>
      </c>
      <c r="B197" s="93" t="s">
        <v>588</v>
      </c>
    </row>
  </sheetData>
  <mergeCells count="4">
    <mergeCell ref="A3:H3"/>
    <mergeCell ref="A147:J147"/>
    <mergeCell ref="A192:J192"/>
    <mergeCell ref="A4:H4"/>
  </mergeCells>
  <pageMargins left="0.7" right="0.7" top="0.75" bottom="0.75" header="0.3" footer="0.3"/>
  <pageSetup paperSize="9" scale="47" orientation="portrait" r:id="rId1"/>
  <rowBreaks count="1" manualBreakCount="1">
    <brk id="94"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tabSelected="1" view="pageBreakPreview" zoomScaleSheetLayoutView="100" workbookViewId="0">
      <selection activeCell="E13" sqref="E13"/>
    </sheetView>
  </sheetViews>
  <sheetFormatPr defaultRowHeight="15"/>
  <cols>
    <col min="2" max="2" width="7.5703125" bestFit="1" customWidth="1"/>
    <col min="3" max="3" width="35.42578125" customWidth="1"/>
    <col min="4" max="4" width="16" customWidth="1"/>
    <col min="5" max="5" width="17.7109375" customWidth="1"/>
    <col min="6" max="6" width="17.85546875" customWidth="1"/>
  </cols>
  <sheetData>
    <row r="2" spans="1:13" ht="26.25">
      <c r="B2" s="389" t="s">
        <v>700</v>
      </c>
    </row>
    <row r="3" spans="1:13" ht="18.75">
      <c r="B3" s="414" t="s">
        <v>701</v>
      </c>
      <c r="C3" s="414"/>
      <c r="D3" s="414"/>
      <c r="E3" s="414"/>
      <c r="F3" s="414"/>
    </row>
    <row r="4" spans="1:13" ht="21">
      <c r="B4" s="418" t="s">
        <v>735</v>
      </c>
      <c r="C4" s="418"/>
      <c r="D4" s="418"/>
      <c r="E4" s="418"/>
      <c r="F4" s="418"/>
    </row>
    <row r="5" spans="1:13">
      <c r="B5" s="334" t="s">
        <v>144</v>
      </c>
      <c r="C5" s="334" t="s">
        <v>128</v>
      </c>
      <c r="D5" s="334" t="s">
        <v>156</v>
      </c>
      <c r="E5" s="339" t="s">
        <v>468</v>
      </c>
      <c r="F5" s="339" t="s">
        <v>469</v>
      </c>
    </row>
    <row r="6" spans="1:13">
      <c r="B6" s="335">
        <v>1</v>
      </c>
      <c r="C6" s="336" t="str">
        <f>'2.Capex Details'!B2</f>
        <v>Land, Building, Shed and Warehouse</v>
      </c>
      <c r="D6" s="340">
        <f>'2.Capex Details'!G17</f>
        <v>19365041.48</v>
      </c>
      <c r="E6" s="341">
        <v>0.6</v>
      </c>
      <c r="F6" s="342">
        <f>D6*E6</f>
        <v>11619024.888</v>
      </c>
    </row>
    <row r="7" spans="1:13">
      <c r="B7" s="335">
        <v>2</v>
      </c>
      <c r="C7" s="336" t="str">
        <f>'2.Capex Details'!B22</f>
        <v>Machinery and Equipment</v>
      </c>
      <c r="D7" s="340">
        <f>'2.Capex Details'!G74</f>
        <v>21296000</v>
      </c>
      <c r="E7" s="341">
        <v>0.6</v>
      </c>
      <c r="F7" s="342">
        <f t="shared" ref="F7:F11" si="0">D7*E7</f>
        <v>12777600</v>
      </c>
    </row>
    <row r="8" spans="1:13">
      <c r="B8" s="335">
        <v>3</v>
      </c>
      <c r="C8" s="336" t="str">
        <f>'2.Capex Details'!B84</f>
        <v>Furniture and Fixture</v>
      </c>
      <c r="D8" s="340">
        <f>'2.Capex Details'!F92</f>
        <v>0</v>
      </c>
      <c r="E8" s="341">
        <v>0.6</v>
      </c>
      <c r="F8" s="342">
        <f t="shared" si="0"/>
        <v>0</v>
      </c>
    </row>
    <row r="9" spans="1:13">
      <c r="B9" s="335">
        <v>4</v>
      </c>
      <c r="C9" s="336" t="str">
        <f>'2.Capex Details'!B95</f>
        <v>IT &amp; It Infrastracture</v>
      </c>
      <c r="D9" s="340">
        <f>'2.Capex Details'!F104</f>
        <v>695211</v>
      </c>
      <c r="E9" s="341">
        <v>0.6</v>
      </c>
      <c r="F9" s="342">
        <f t="shared" si="0"/>
        <v>417126.6</v>
      </c>
    </row>
    <row r="10" spans="1:13">
      <c r="B10" s="335">
        <v>5</v>
      </c>
      <c r="C10" s="336" t="str">
        <f>'2.Capex Details'!B107</f>
        <v>Transport vehical  (Refer van and other)</v>
      </c>
      <c r="D10" s="340">
        <f>'2.Capex Details'!F113</f>
        <v>0</v>
      </c>
      <c r="E10" s="341">
        <v>0.6</v>
      </c>
      <c r="F10" s="342">
        <f t="shared" si="0"/>
        <v>0</v>
      </c>
    </row>
    <row r="11" spans="1:13">
      <c r="B11" s="335">
        <v>6</v>
      </c>
      <c r="C11" s="336" t="str">
        <f>'2.Capex Details'!B115</f>
        <v>Preliminary Expenses</v>
      </c>
      <c r="D11" s="340">
        <f>'2.Capex Details'!D120</f>
        <v>62940</v>
      </c>
      <c r="E11" s="341">
        <v>0.6</v>
      </c>
      <c r="F11" s="342">
        <f t="shared" si="0"/>
        <v>37764</v>
      </c>
      <c r="L11" t="s">
        <v>415</v>
      </c>
    </row>
    <row r="12" spans="1:13">
      <c r="B12" s="335">
        <v>7</v>
      </c>
      <c r="C12" s="336" t="s">
        <v>154</v>
      </c>
      <c r="D12" s="340">
        <f>'5.Closing Stock &amp; W Capital'!E51</f>
        <v>677859.63750597415</v>
      </c>
      <c r="E12" s="343"/>
      <c r="F12" s="343"/>
    </row>
    <row r="13" spans="1:13">
      <c r="B13" s="413" t="s">
        <v>1</v>
      </c>
      <c r="C13" s="413"/>
      <c r="D13" s="344">
        <f>SUM(D6:D12)</f>
        <v>42097052.117505975</v>
      </c>
      <c r="E13" s="343"/>
      <c r="F13" s="344">
        <f>SUM(F6:F12)</f>
        <v>24851515.488000002</v>
      </c>
    </row>
    <row r="14" spans="1:13">
      <c r="D14" s="22"/>
      <c r="M14">
        <v>48</v>
      </c>
    </row>
    <row r="15" spans="1:13" ht="25.5" customHeight="1">
      <c r="A15" s="416" t="s">
        <v>416</v>
      </c>
      <c r="B15" s="416"/>
      <c r="C15" s="416"/>
      <c r="D15" s="416"/>
      <c r="E15" s="416"/>
      <c r="F15" s="416"/>
      <c r="M15">
        <v>11.64</v>
      </c>
    </row>
    <row r="16" spans="1:13">
      <c r="M16">
        <f>M14+M15</f>
        <v>59.64</v>
      </c>
    </row>
    <row r="17" spans="2:13" ht="18.75">
      <c r="B17" s="414" t="s">
        <v>702</v>
      </c>
      <c r="C17" s="414"/>
      <c r="D17" s="414"/>
      <c r="E17" s="414"/>
      <c r="F17" s="209"/>
      <c r="M17">
        <v>19.05</v>
      </c>
    </row>
    <row r="18" spans="2:13">
      <c r="M18">
        <f>M16+M17</f>
        <v>78.69</v>
      </c>
    </row>
    <row r="19" spans="2:13">
      <c r="B19" s="333" t="s">
        <v>144</v>
      </c>
      <c r="C19" s="334" t="s">
        <v>128</v>
      </c>
      <c r="D19" s="334" t="s">
        <v>635</v>
      </c>
      <c r="E19" s="334" t="s">
        <v>156</v>
      </c>
    </row>
    <row r="20" spans="2:13">
      <c r="B20" s="335">
        <v>1</v>
      </c>
      <c r="C20" s="336" t="s">
        <v>331</v>
      </c>
      <c r="D20" s="372"/>
      <c r="E20" s="337">
        <f>F13</f>
        <v>24851515.488000002</v>
      </c>
    </row>
    <row r="21" spans="2:13">
      <c r="B21" s="335">
        <v>2</v>
      </c>
      <c r="C21" s="336" t="s">
        <v>155</v>
      </c>
      <c r="D21" s="366">
        <v>0.35</v>
      </c>
      <c r="E21" s="337">
        <f>SUM(D6:D10)*D21</f>
        <v>14474688.368000001</v>
      </c>
    </row>
    <row r="22" spans="2:13">
      <c r="B22" s="335">
        <v>3</v>
      </c>
      <c r="C22" s="336" t="s">
        <v>134</v>
      </c>
      <c r="D22" s="337"/>
      <c r="E22" s="337">
        <f>D13-E20-E21</f>
        <v>2770848.2615059726</v>
      </c>
    </row>
    <row r="23" spans="2:13">
      <c r="B23" s="413" t="s">
        <v>1</v>
      </c>
      <c r="C23" s="413"/>
      <c r="D23" s="338"/>
      <c r="E23" s="338">
        <f>SUM(E20:E22)</f>
        <v>42097052.117505983</v>
      </c>
    </row>
    <row r="25" spans="2:13">
      <c r="B25" s="415" t="s">
        <v>417</v>
      </c>
      <c r="C25" s="415"/>
      <c r="D25" s="415"/>
      <c r="E25" s="415"/>
      <c r="F25" s="415"/>
    </row>
    <row r="27" spans="2:13" ht="18.75">
      <c r="B27" s="417" t="s">
        <v>709</v>
      </c>
      <c r="C27" s="417"/>
      <c r="D27" s="417"/>
      <c r="E27" s="417"/>
      <c r="F27" s="417"/>
      <c r="G27" s="417"/>
    </row>
    <row r="28" spans="2:13">
      <c r="B28" s="345" t="s">
        <v>144</v>
      </c>
      <c r="C28" s="346" t="s">
        <v>591</v>
      </c>
      <c r="D28" s="347" t="s">
        <v>592</v>
      </c>
      <c r="E28" s="348" t="s">
        <v>593</v>
      </c>
      <c r="F28" s="411" t="s">
        <v>594</v>
      </c>
      <c r="G28" s="412"/>
    </row>
    <row r="29" spans="2:13" ht="25.5">
      <c r="B29" s="349">
        <v>1</v>
      </c>
      <c r="C29" s="336" t="s">
        <v>375</v>
      </c>
      <c r="D29" s="350">
        <f>'9. Financial indiacators'!C49</f>
        <v>0.44014800466183679</v>
      </c>
      <c r="E29" s="349" t="s">
        <v>376</v>
      </c>
      <c r="F29" s="356" t="s">
        <v>595</v>
      </c>
      <c r="G29" s="349" t="s">
        <v>377</v>
      </c>
    </row>
    <row r="30" spans="2:13" ht="38.25">
      <c r="B30" s="349">
        <v>2</v>
      </c>
      <c r="C30" s="336" t="s">
        <v>378</v>
      </c>
      <c r="D30" s="351">
        <f>'9. Financial indiacators'!C85</f>
        <v>0.22139886460625685</v>
      </c>
      <c r="E30" s="349" t="s">
        <v>376</v>
      </c>
      <c r="F30" s="356" t="s">
        <v>596</v>
      </c>
      <c r="G30" s="349" t="s">
        <v>379</v>
      </c>
    </row>
    <row r="31" spans="2:13" ht="38.25">
      <c r="B31" s="349">
        <v>3</v>
      </c>
      <c r="C31" s="336" t="s">
        <v>380</v>
      </c>
      <c r="D31" s="350">
        <f>'9. Financial indiacators'!C16</f>
        <v>0.14298146966785596</v>
      </c>
      <c r="E31" s="349" t="s">
        <v>376</v>
      </c>
      <c r="F31" s="356" t="s">
        <v>597</v>
      </c>
      <c r="G31" s="349" t="s">
        <v>381</v>
      </c>
    </row>
    <row r="32" spans="2:13" ht="63.75">
      <c r="B32" s="349">
        <v>4</v>
      </c>
      <c r="C32" s="336" t="s">
        <v>382</v>
      </c>
      <c r="D32" s="352">
        <f>'9. Financial indiacators'!C73</f>
        <v>8118242.792432256</v>
      </c>
      <c r="E32" s="349" t="s">
        <v>386</v>
      </c>
      <c r="F32" s="356" t="s">
        <v>598</v>
      </c>
      <c r="G32" s="349" t="s">
        <v>383</v>
      </c>
    </row>
    <row r="33" spans="2:7" ht="38.25">
      <c r="B33" s="349">
        <v>5</v>
      </c>
      <c r="C33" s="336" t="s">
        <v>384</v>
      </c>
      <c r="D33" s="353">
        <f>'9. Financial indiacators'!D101</f>
        <v>4.967524798282688</v>
      </c>
      <c r="E33" s="349" t="s">
        <v>376</v>
      </c>
      <c r="F33" s="356" t="s">
        <v>599</v>
      </c>
      <c r="G33" s="349" t="s">
        <v>387</v>
      </c>
    </row>
    <row r="34" spans="2:7" ht="38.25">
      <c r="B34" s="349">
        <v>6</v>
      </c>
      <c r="C34" s="354" t="s">
        <v>385</v>
      </c>
      <c r="D34" s="353">
        <f>'9. Financial indiacators'!C119</f>
        <v>2.4082406026441809</v>
      </c>
      <c r="E34" s="355" t="s">
        <v>376</v>
      </c>
      <c r="F34" s="356" t="s">
        <v>600</v>
      </c>
      <c r="G34" s="354" t="s">
        <v>388</v>
      </c>
    </row>
  </sheetData>
  <mergeCells count="9">
    <mergeCell ref="F28:G28"/>
    <mergeCell ref="B13:C13"/>
    <mergeCell ref="B23:C23"/>
    <mergeCell ref="B3:F3"/>
    <mergeCell ref="B25:F25"/>
    <mergeCell ref="A15:F15"/>
    <mergeCell ref="B27:G27"/>
    <mergeCell ref="B17:E17"/>
    <mergeCell ref="B4:F4"/>
  </mergeCells>
  <conditionalFormatting sqref="D24">
    <cfRule type="cellIs" dxfId="3" priority="1" operator="greaterThan">
      <formula>0</formula>
    </cfRule>
  </conditionalFormatting>
  <pageMargins left="0.70866141732283472" right="0.70866141732283472" top="0.74803149606299213" bottom="0.74803149606299213" header="0.31496062992125984" footer="0.31496062992125984"/>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2"/>
  <sheetViews>
    <sheetView view="pageBreakPreview" zoomScale="80" zoomScaleSheetLayoutView="80" workbookViewId="0">
      <selection activeCell="E1" sqref="E1"/>
    </sheetView>
  </sheetViews>
  <sheetFormatPr defaultRowHeight="15"/>
  <cols>
    <col min="2" max="2" width="7.5703125" bestFit="1" customWidth="1"/>
    <col min="3" max="3" width="41.5703125" customWidth="1"/>
    <col min="4" max="4" width="13.5703125" customWidth="1"/>
    <col min="5" max="5" width="17" customWidth="1"/>
    <col min="6" max="6" width="14" bestFit="1" customWidth="1"/>
    <col min="7" max="7" width="12.28515625" customWidth="1"/>
    <col min="8" max="8" width="11.5703125" bestFit="1" customWidth="1"/>
  </cols>
  <sheetData>
    <row r="2" spans="1:7" ht="18.75">
      <c r="A2" s="5" t="s">
        <v>703</v>
      </c>
      <c r="B2" s="414" t="s">
        <v>682</v>
      </c>
      <c r="C2" s="414"/>
      <c r="D2" s="414"/>
      <c r="E2" s="414"/>
      <c r="F2" s="414"/>
      <c r="G2" s="414"/>
    </row>
    <row r="4" spans="1:7" ht="28.5">
      <c r="B4" s="214" t="s">
        <v>144</v>
      </c>
      <c r="C4" s="214" t="s">
        <v>128</v>
      </c>
      <c r="D4" s="214" t="s">
        <v>132</v>
      </c>
      <c r="E4" s="214" t="s">
        <v>145</v>
      </c>
      <c r="F4" s="214" t="s">
        <v>146</v>
      </c>
      <c r="G4" s="214" t="s">
        <v>156</v>
      </c>
    </row>
    <row r="5" spans="1:7">
      <c r="B5" s="373">
        <v>1</v>
      </c>
      <c r="C5" s="373" t="s">
        <v>147</v>
      </c>
      <c r="D5" s="373" t="s">
        <v>148</v>
      </c>
      <c r="E5" s="390">
        <v>1</v>
      </c>
      <c r="F5" s="390">
        <v>3341500</v>
      </c>
      <c r="G5" s="357" t="s">
        <v>697</v>
      </c>
    </row>
    <row r="6" spans="1:7">
      <c r="B6" s="373">
        <v>2</v>
      </c>
      <c r="C6" s="373" t="s">
        <v>723</v>
      </c>
      <c r="D6" s="374" t="s">
        <v>724</v>
      </c>
      <c r="E6" s="375">
        <v>1</v>
      </c>
      <c r="F6" s="390">
        <v>4247116.12</v>
      </c>
      <c r="G6" s="377">
        <f>E6*F6</f>
        <v>4247116.12</v>
      </c>
    </row>
    <row r="7" spans="1:7">
      <c r="B7" s="373">
        <v>3</v>
      </c>
      <c r="C7" s="373" t="s">
        <v>721</v>
      </c>
      <c r="D7" s="374" t="s">
        <v>722</v>
      </c>
      <c r="E7" s="375">
        <v>1</v>
      </c>
      <c r="F7" s="390">
        <v>10099354.310000001</v>
      </c>
      <c r="G7" s="377">
        <f t="shared" ref="G7:G16" si="0">E7*F7</f>
        <v>10099354.310000001</v>
      </c>
    </row>
    <row r="8" spans="1:7">
      <c r="B8" s="373">
        <v>4</v>
      </c>
      <c r="C8" s="391" t="s">
        <v>725</v>
      </c>
      <c r="D8" s="374"/>
      <c r="E8" s="375"/>
      <c r="F8" s="376"/>
      <c r="G8" s="377">
        <f t="shared" si="0"/>
        <v>0</v>
      </c>
    </row>
    <row r="9" spans="1:7">
      <c r="B9" s="373"/>
      <c r="C9" s="373" t="s">
        <v>726</v>
      </c>
      <c r="D9" s="374" t="s">
        <v>727</v>
      </c>
      <c r="E9" s="375"/>
      <c r="F9" s="376">
        <v>1446319.48</v>
      </c>
      <c r="G9" s="377">
        <f t="shared" ref="G9:G15" si="1">+F9</f>
        <v>1446319.48</v>
      </c>
    </row>
    <row r="10" spans="1:7">
      <c r="B10" s="373"/>
      <c r="C10" s="373" t="s">
        <v>728</v>
      </c>
      <c r="D10" s="374" t="s">
        <v>722</v>
      </c>
      <c r="E10" s="375"/>
      <c r="F10" s="376">
        <v>113183</v>
      </c>
      <c r="G10" s="377">
        <f t="shared" si="1"/>
        <v>113183</v>
      </c>
    </row>
    <row r="11" spans="1:7">
      <c r="B11" s="373"/>
      <c r="C11" s="373" t="s">
        <v>729</v>
      </c>
      <c r="D11" s="374" t="s">
        <v>724</v>
      </c>
      <c r="E11" s="375"/>
      <c r="F11" s="376">
        <v>33712</v>
      </c>
      <c r="G11" s="377">
        <f t="shared" si="1"/>
        <v>33712</v>
      </c>
    </row>
    <row r="12" spans="1:7">
      <c r="B12" s="373"/>
      <c r="C12" s="373" t="s">
        <v>730</v>
      </c>
      <c r="D12" s="374"/>
      <c r="E12" s="375"/>
      <c r="F12" s="376">
        <v>464249.28</v>
      </c>
      <c r="G12" s="377">
        <f t="shared" si="1"/>
        <v>464249.28</v>
      </c>
    </row>
    <row r="13" spans="1:7">
      <c r="B13" s="373"/>
      <c r="C13" s="373" t="s">
        <v>731</v>
      </c>
      <c r="D13" s="374"/>
      <c r="E13" s="375"/>
      <c r="F13" s="376">
        <v>10350</v>
      </c>
      <c r="G13" s="377">
        <f t="shared" si="1"/>
        <v>10350</v>
      </c>
    </row>
    <row r="14" spans="1:7">
      <c r="B14" s="373">
        <v>5</v>
      </c>
      <c r="C14" s="373" t="s">
        <v>732</v>
      </c>
      <c r="D14" s="374"/>
      <c r="E14" s="375"/>
      <c r="F14" s="376">
        <v>2871006.29</v>
      </c>
      <c r="G14" s="377">
        <f t="shared" si="1"/>
        <v>2871006.29</v>
      </c>
    </row>
    <row r="15" spans="1:7">
      <c r="B15" s="373">
        <v>6</v>
      </c>
      <c r="C15" s="373" t="s">
        <v>733</v>
      </c>
      <c r="D15" s="374"/>
      <c r="E15" s="375"/>
      <c r="F15" s="376">
        <v>79751</v>
      </c>
      <c r="G15" s="377">
        <f t="shared" si="1"/>
        <v>79751</v>
      </c>
    </row>
    <row r="16" spans="1:7">
      <c r="B16" s="373"/>
      <c r="C16" s="373"/>
      <c r="D16" s="374"/>
      <c r="E16" s="375"/>
      <c r="F16" s="376"/>
      <c r="G16" s="377">
        <f t="shared" si="0"/>
        <v>0</v>
      </c>
    </row>
    <row r="17" spans="2:8">
      <c r="B17" s="419" t="s">
        <v>1</v>
      </c>
      <c r="C17" s="419"/>
      <c r="D17" s="419"/>
      <c r="E17" s="419"/>
      <c r="F17" s="419"/>
      <c r="G17" s="228">
        <f>SUM(G6:G16)</f>
        <v>19365041.48</v>
      </c>
    </row>
    <row r="20" spans="2:8">
      <c r="B20" s="415" t="s">
        <v>411</v>
      </c>
      <c r="C20" s="415"/>
      <c r="D20" s="415"/>
      <c r="E20" s="415"/>
      <c r="F20" s="415"/>
      <c r="G20" s="415"/>
    </row>
    <row r="22" spans="2:8" ht="18.75">
      <c r="B22" s="414" t="s">
        <v>153</v>
      </c>
      <c r="C22" s="414"/>
      <c r="D22" s="414"/>
      <c r="E22" s="414"/>
      <c r="F22" s="414"/>
      <c r="G22" s="414"/>
      <c r="H22" s="414"/>
    </row>
    <row r="23" spans="2:8">
      <c r="B23" s="19"/>
    </row>
    <row r="24" spans="2:8" ht="28.5">
      <c r="B24" s="308" t="s">
        <v>144</v>
      </c>
      <c r="C24" s="308" t="s">
        <v>149</v>
      </c>
      <c r="D24" s="308" t="s">
        <v>159</v>
      </c>
      <c r="E24" s="308" t="s">
        <v>150</v>
      </c>
      <c r="F24" s="308" t="s">
        <v>151</v>
      </c>
      <c r="G24" s="308" t="s">
        <v>156</v>
      </c>
      <c r="H24" s="308" t="s">
        <v>152</v>
      </c>
    </row>
    <row r="25" spans="2:8" hidden="1">
      <c r="B25" s="236"/>
      <c r="C25" s="229"/>
      <c r="D25" s="229"/>
      <c r="E25" s="229"/>
      <c r="F25" s="229"/>
      <c r="G25" s="230"/>
      <c r="H25" s="229"/>
    </row>
    <row r="26" spans="2:8" hidden="1">
      <c r="B26" s="232"/>
      <c r="C26" s="231"/>
      <c r="D26" s="231"/>
      <c r="E26" s="232"/>
      <c r="F26" s="233"/>
      <c r="G26" s="230">
        <f t="shared" ref="G26:G36" si="2">E26*F26</f>
        <v>0</v>
      </c>
      <c r="H26" s="234"/>
    </row>
    <row r="27" spans="2:8" hidden="1">
      <c r="B27" s="232"/>
      <c r="C27" s="231"/>
      <c r="D27" s="231"/>
      <c r="E27" s="232"/>
      <c r="F27" s="233"/>
      <c r="G27" s="230">
        <f t="shared" si="2"/>
        <v>0</v>
      </c>
      <c r="H27" s="234"/>
    </row>
    <row r="28" spans="2:8" hidden="1">
      <c r="B28" s="232"/>
      <c r="C28" s="231"/>
      <c r="D28" s="231"/>
      <c r="E28" s="232"/>
      <c r="F28" s="233"/>
      <c r="G28" s="230">
        <f t="shared" si="2"/>
        <v>0</v>
      </c>
      <c r="H28" s="234"/>
    </row>
    <row r="29" spans="2:8" hidden="1">
      <c r="B29" s="232"/>
      <c r="C29" s="231"/>
      <c r="D29" s="231"/>
      <c r="E29" s="232"/>
      <c r="F29" s="233"/>
      <c r="G29" s="230">
        <f t="shared" si="2"/>
        <v>0</v>
      </c>
      <c r="H29" s="234"/>
    </row>
    <row r="30" spans="2:8" hidden="1">
      <c r="B30" s="232"/>
      <c r="C30" s="231"/>
      <c r="D30" s="231"/>
      <c r="E30" s="232"/>
      <c r="F30" s="233"/>
      <c r="G30" s="230">
        <f t="shared" si="2"/>
        <v>0</v>
      </c>
      <c r="H30" s="234"/>
    </row>
    <row r="31" spans="2:8" hidden="1">
      <c r="B31" s="232"/>
      <c r="C31" s="231"/>
      <c r="D31" s="231"/>
      <c r="E31" s="232"/>
      <c r="F31" s="233"/>
      <c r="G31" s="230">
        <f t="shared" si="2"/>
        <v>0</v>
      </c>
      <c r="H31" s="234"/>
    </row>
    <row r="32" spans="2:8" hidden="1">
      <c r="B32" s="232"/>
      <c r="C32" s="231"/>
      <c r="D32" s="231"/>
      <c r="E32" s="232"/>
      <c r="F32" s="233"/>
      <c r="G32" s="230">
        <f t="shared" si="2"/>
        <v>0</v>
      </c>
      <c r="H32" s="234"/>
    </row>
    <row r="33" spans="2:8" hidden="1">
      <c r="B33" s="232"/>
      <c r="C33" s="231"/>
      <c r="D33" s="231"/>
      <c r="E33" s="232"/>
      <c r="F33" s="233"/>
      <c r="G33" s="230">
        <f t="shared" si="2"/>
        <v>0</v>
      </c>
      <c r="H33" s="234"/>
    </row>
    <row r="34" spans="2:8" hidden="1">
      <c r="B34" s="232"/>
      <c r="C34" s="231"/>
      <c r="D34" s="232"/>
      <c r="E34" s="232"/>
      <c r="F34" s="233"/>
      <c r="G34" s="230">
        <f t="shared" si="2"/>
        <v>0</v>
      </c>
      <c r="H34" s="234"/>
    </row>
    <row r="35" spans="2:8" hidden="1">
      <c r="B35" s="232"/>
      <c r="C35" s="231"/>
      <c r="D35" s="232"/>
      <c r="E35" s="232"/>
      <c r="F35" s="233"/>
      <c r="G35" s="230">
        <f t="shared" si="2"/>
        <v>0</v>
      </c>
      <c r="H35" s="234"/>
    </row>
    <row r="36" spans="2:8" hidden="1">
      <c r="B36" s="232"/>
      <c r="C36" s="231"/>
      <c r="D36" s="232"/>
      <c r="E36" s="232"/>
      <c r="F36" s="233"/>
      <c r="G36" s="230">
        <f t="shared" si="2"/>
        <v>0</v>
      </c>
      <c r="H36" s="234"/>
    </row>
    <row r="37" spans="2:8" ht="15" hidden="1" customHeight="1">
      <c r="B37" s="421" t="s">
        <v>169</v>
      </c>
      <c r="C37" s="422"/>
      <c r="D37" s="232"/>
      <c r="E37" s="232"/>
      <c r="F37" s="235"/>
      <c r="G37" s="230">
        <f>SUM(G26:G36)</f>
        <v>0</v>
      </c>
      <c r="H37" s="230">
        <f>SUM(H26:H36)</f>
        <v>0</v>
      </c>
    </row>
    <row r="38" spans="2:8" hidden="1">
      <c r="B38" s="232" t="s">
        <v>172</v>
      </c>
      <c r="C38" s="231" t="s">
        <v>293</v>
      </c>
      <c r="D38" s="236"/>
      <c r="E38" s="236"/>
      <c r="F38" s="230"/>
      <c r="G38" s="230"/>
      <c r="H38" s="229"/>
    </row>
    <row r="39" spans="2:8" hidden="1">
      <c r="B39" s="236"/>
      <c r="C39" s="237"/>
      <c r="D39" s="237"/>
      <c r="E39" s="236"/>
      <c r="F39" s="230"/>
      <c r="G39" s="230">
        <f t="shared" ref="G39:G44" si="3">E39*F39</f>
        <v>0</v>
      </c>
      <c r="H39" s="229"/>
    </row>
    <row r="40" spans="2:8" hidden="1">
      <c r="B40" s="236"/>
      <c r="C40" s="237"/>
      <c r="D40" s="236"/>
      <c r="E40" s="236"/>
      <c r="F40" s="230"/>
      <c r="G40" s="230">
        <f t="shared" si="3"/>
        <v>0</v>
      </c>
      <c r="H40" s="229"/>
    </row>
    <row r="41" spans="2:8" hidden="1">
      <c r="B41" s="236"/>
      <c r="C41" s="237"/>
      <c r="D41" s="236"/>
      <c r="E41" s="236"/>
      <c r="F41" s="230"/>
      <c r="G41" s="230">
        <f t="shared" si="3"/>
        <v>0</v>
      </c>
      <c r="H41" s="229"/>
    </row>
    <row r="42" spans="2:8" hidden="1">
      <c r="B42" s="236"/>
      <c r="C42" s="237"/>
      <c r="D42" s="236"/>
      <c r="E42" s="236"/>
      <c r="F42" s="230"/>
      <c r="G42" s="230">
        <f t="shared" si="3"/>
        <v>0</v>
      </c>
      <c r="H42" s="229"/>
    </row>
    <row r="43" spans="2:8" hidden="1">
      <c r="B43" s="236"/>
      <c r="C43" s="237"/>
      <c r="D43" s="236"/>
      <c r="E43" s="236"/>
      <c r="F43" s="230"/>
      <c r="G43" s="230">
        <f t="shared" si="3"/>
        <v>0</v>
      </c>
      <c r="H43" s="229"/>
    </row>
    <row r="44" spans="2:8" hidden="1">
      <c r="B44" s="236"/>
      <c r="C44" s="237"/>
      <c r="D44" s="236"/>
      <c r="E44" s="236"/>
      <c r="F44" s="230"/>
      <c r="G44" s="230">
        <f t="shared" si="3"/>
        <v>0</v>
      </c>
      <c r="H44" s="229"/>
    </row>
    <row r="45" spans="2:8" hidden="1">
      <c r="B45" s="236"/>
      <c r="C45" s="237"/>
      <c r="D45" s="236"/>
      <c r="E45" s="236"/>
      <c r="F45" s="230"/>
      <c r="G45" s="230">
        <f t="shared" ref="G45:G51" si="4">F45</f>
        <v>0</v>
      </c>
      <c r="H45" s="229"/>
    </row>
    <row r="46" spans="2:8" hidden="1">
      <c r="B46" s="236"/>
      <c r="C46" s="237"/>
      <c r="D46" s="236"/>
      <c r="E46" s="236"/>
      <c r="F46" s="230"/>
      <c r="G46" s="230">
        <f t="shared" si="4"/>
        <v>0</v>
      </c>
      <c r="H46" s="229"/>
    </row>
    <row r="47" spans="2:8" hidden="1">
      <c r="B47" s="236"/>
      <c r="C47" s="237"/>
      <c r="D47" s="236"/>
      <c r="E47" s="236"/>
      <c r="F47" s="230"/>
      <c r="G47" s="230">
        <f t="shared" si="4"/>
        <v>0</v>
      </c>
      <c r="H47" s="229"/>
    </row>
    <row r="48" spans="2:8" hidden="1">
      <c r="B48" s="236"/>
      <c r="C48" s="237"/>
      <c r="D48" s="236"/>
      <c r="E48" s="236"/>
      <c r="F48" s="230"/>
      <c r="G48" s="230">
        <f t="shared" si="4"/>
        <v>0</v>
      </c>
      <c r="H48" s="229"/>
    </row>
    <row r="49" spans="2:8" hidden="1">
      <c r="B49" s="236"/>
      <c r="C49" s="237"/>
      <c r="D49" s="236"/>
      <c r="E49" s="236"/>
      <c r="F49" s="230"/>
      <c r="G49" s="230">
        <f t="shared" si="4"/>
        <v>0</v>
      </c>
      <c r="H49" s="229"/>
    </row>
    <row r="50" spans="2:8" hidden="1">
      <c r="B50" s="236"/>
      <c r="C50" s="237"/>
      <c r="D50" s="236"/>
      <c r="E50" s="236"/>
      <c r="F50" s="230"/>
      <c r="G50" s="230">
        <f t="shared" si="4"/>
        <v>0</v>
      </c>
      <c r="H50" s="229"/>
    </row>
    <row r="51" spans="2:8" hidden="1">
      <c r="B51" s="236"/>
      <c r="C51" s="237"/>
      <c r="D51" s="236"/>
      <c r="E51" s="236"/>
      <c r="F51" s="230"/>
      <c r="G51" s="230">
        <f t="shared" si="4"/>
        <v>0</v>
      </c>
      <c r="H51" s="229"/>
    </row>
    <row r="52" spans="2:8" ht="15" hidden="1" customHeight="1">
      <c r="B52" s="421" t="s">
        <v>169</v>
      </c>
      <c r="C52" s="422"/>
      <c r="D52" s="232"/>
      <c r="E52" s="232"/>
      <c r="F52" s="235"/>
      <c r="G52" s="235">
        <f>SUM(G39:G51)</f>
        <v>0</v>
      </c>
      <c r="H52" s="235">
        <f>SUM(H39:H51)</f>
        <v>0</v>
      </c>
    </row>
    <row r="53" spans="2:8" hidden="1">
      <c r="B53" s="236"/>
      <c r="C53" s="237"/>
      <c r="D53" s="236"/>
      <c r="E53" s="236"/>
      <c r="F53" s="230"/>
      <c r="G53" s="230"/>
      <c r="H53" s="229"/>
    </row>
    <row r="54" spans="2:8">
      <c r="B54" s="378" t="s">
        <v>171</v>
      </c>
      <c r="C54" s="221"/>
      <c r="D54" s="379"/>
      <c r="E54" s="379"/>
      <c r="F54" s="380"/>
      <c r="G54" s="380">
        <f t="shared" ref="G54:G61" si="5">E54*F54</f>
        <v>0</v>
      </c>
      <c r="H54" s="98"/>
    </row>
    <row r="55" spans="2:8">
      <c r="B55" s="378"/>
      <c r="C55" s="221" t="s">
        <v>712</v>
      </c>
      <c r="D55" s="223" t="s">
        <v>734</v>
      </c>
      <c r="E55" s="379">
        <v>2</v>
      </c>
      <c r="F55" s="380">
        <v>1000000</v>
      </c>
      <c r="G55" s="380">
        <f t="shared" si="5"/>
        <v>2000000</v>
      </c>
      <c r="H55" s="98">
        <v>7.5</v>
      </c>
    </row>
    <row r="56" spans="2:8">
      <c r="B56" s="378"/>
      <c r="C56" s="221" t="s">
        <v>713</v>
      </c>
      <c r="D56" s="223" t="s">
        <v>734</v>
      </c>
      <c r="E56" s="379">
        <v>4</v>
      </c>
      <c r="F56" s="380">
        <v>700000</v>
      </c>
      <c r="G56" s="380">
        <f t="shared" si="5"/>
        <v>2800000</v>
      </c>
      <c r="H56" s="98">
        <v>7.5</v>
      </c>
    </row>
    <row r="57" spans="2:8">
      <c r="B57" s="378"/>
      <c r="C57" s="221" t="s">
        <v>714</v>
      </c>
      <c r="D57" s="223" t="s">
        <v>734</v>
      </c>
      <c r="E57" s="379">
        <v>1</v>
      </c>
      <c r="F57" s="380">
        <v>1700000</v>
      </c>
      <c r="G57" s="380">
        <f t="shared" si="5"/>
        <v>1700000</v>
      </c>
      <c r="H57" s="98">
        <v>7.5</v>
      </c>
    </row>
    <row r="58" spans="2:8">
      <c r="B58" s="378"/>
      <c r="C58" s="221" t="s">
        <v>715</v>
      </c>
      <c r="D58" s="223" t="s">
        <v>734</v>
      </c>
      <c r="E58" s="379">
        <v>1</v>
      </c>
      <c r="F58" s="380">
        <v>2400000</v>
      </c>
      <c r="G58" s="380">
        <f t="shared" si="5"/>
        <v>2400000</v>
      </c>
      <c r="H58" s="98">
        <v>7.5</v>
      </c>
    </row>
    <row r="59" spans="2:8" ht="28.5">
      <c r="B59" s="378"/>
      <c r="C59" s="221" t="s">
        <v>716</v>
      </c>
      <c r="D59" s="223" t="s">
        <v>734</v>
      </c>
      <c r="E59" s="379">
        <v>1</v>
      </c>
      <c r="F59" s="380">
        <v>3700000</v>
      </c>
      <c r="G59" s="380">
        <f t="shared" si="5"/>
        <v>3700000</v>
      </c>
      <c r="H59" s="98">
        <v>2</v>
      </c>
    </row>
    <row r="60" spans="2:8" ht="28.5">
      <c r="B60" s="378"/>
      <c r="C60" s="221" t="s">
        <v>717</v>
      </c>
      <c r="D60" s="223" t="s">
        <v>734</v>
      </c>
      <c r="E60" s="379">
        <v>1</v>
      </c>
      <c r="F60" s="380">
        <v>3800000</v>
      </c>
      <c r="G60" s="380">
        <f t="shared" si="5"/>
        <v>3800000</v>
      </c>
      <c r="H60" s="98">
        <v>7.5</v>
      </c>
    </row>
    <row r="61" spans="2:8" ht="28.5">
      <c r="B61" s="378"/>
      <c r="C61" s="221" t="s">
        <v>718</v>
      </c>
      <c r="D61" s="223" t="s">
        <v>734</v>
      </c>
      <c r="E61" s="379">
        <v>1</v>
      </c>
      <c r="F61" s="380">
        <v>1800000</v>
      </c>
      <c r="G61" s="380">
        <f t="shared" si="5"/>
        <v>1800000</v>
      </c>
      <c r="H61" s="98">
        <v>1.5</v>
      </c>
    </row>
    <row r="62" spans="2:8">
      <c r="B62" s="378"/>
      <c r="C62" s="221" t="s">
        <v>719</v>
      </c>
      <c r="D62" s="223"/>
      <c r="E62" s="379"/>
      <c r="F62" s="380">
        <v>3096000</v>
      </c>
      <c r="G62" s="380">
        <v>3096000</v>
      </c>
      <c r="H62" s="98">
        <v>7.5</v>
      </c>
    </row>
    <row r="63" spans="2:8">
      <c r="B63" s="378"/>
      <c r="C63" s="221"/>
      <c r="D63" s="223"/>
      <c r="E63" s="379"/>
      <c r="F63" s="380"/>
      <c r="G63" s="380"/>
      <c r="H63" s="98"/>
    </row>
    <row r="64" spans="2:8">
      <c r="B64" s="378"/>
      <c r="C64" s="221"/>
      <c r="D64" s="223"/>
      <c r="E64" s="379"/>
      <c r="F64" s="380"/>
      <c r="G64" s="380"/>
      <c r="H64" s="98"/>
    </row>
    <row r="65" spans="1:11">
      <c r="B65" s="378"/>
      <c r="C65" s="221"/>
      <c r="D65" s="223"/>
      <c r="E65" s="379"/>
      <c r="F65" s="380"/>
      <c r="G65" s="380"/>
      <c r="H65" s="98"/>
    </row>
    <row r="66" spans="1:11">
      <c r="B66" s="423" t="s">
        <v>169</v>
      </c>
      <c r="C66" s="423"/>
      <c r="D66" s="223"/>
      <c r="E66" s="379"/>
      <c r="F66" s="380"/>
      <c r="G66" s="380">
        <f>SUM(G55:G65)</f>
        <v>21296000</v>
      </c>
      <c r="H66" s="380">
        <f>SUM(H54:H62)</f>
        <v>48.5</v>
      </c>
    </row>
    <row r="67" spans="1:11" hidden="1">
      <c r="B67" s="232"/>
      <c r="C67" s="232"/>
      <c r="D67" s="237"/>
      <c r="E67" s="236"/>
      <c r="F67" s="230"/>
      <c r="G67" s="230"/>
      <c r="H67" s="230"/>
    </row>
    <row r="68" spans="1:11" hidden="1">
      <c r="B68" s="232" t="s">
        <v>174</v>
      </c>
      <c r="C68" s="232" t="s">
        <v>535</v>
      </c>
      <c r="D68" s="237"/>
      <c r="E68" s="236"/>
      <c r="F68" s="230"/>
      <c r="G68" s="230">
        <f>E68*F68</f>
        <v>0</v>
      </c>
      <c r="H68" s="230"/>
    </row>
    <row r="69" spans="1:11" hidden="1">
      <c r="B69" s="232"/>
      <c r="C69" s="232"/>
      <c r="D69" s="237"/>
      <c r="E69" s="236"/>
      <c r="F69" s="230"/>
      <c r="G69" s="230">
        <f t="shared" ref="G69:G71" si="6">E69*F69</f>
        <v>0</v>
      </c>
      <c r="H69" s="230"/>
    </row>
    <row r="70" spans="1:11" hidden="1">
      <c r="B70" s="232"/>
      <c r="C70" s="232"/>
      <c r="D70" s="237"/>
      <c r="E70" s="236"/>
      <c r="F70" s="230"/>
      <c r="G70" s="230">
        <f t="shared" si="6"/>
        <v>0</v>
      </c>
      <c r="H70" s="230"/>
    </row>
    <row r="71" spans="1:11" hidden="1">
      <c r="B71" s="232"/>
      <c r="C71" s="231"/>
      <c r="D71" s="237"/>
      <c r="E71" s="236"/>
      <c r="F71" s="230"/>
      <c r="G71" s="230">
        <f t="shared" si="6"/>
        <v>0</v>
      </c>
      <c r="H71" s="229"/>
    </row>
    <row r="72" spans="1:11" hidden="1">
      <c r="B72" s="427" t="s">
        <v>169</v>
      </c>
      <c r="C72" s="427"/>
      <c r="D72" s="237"/>
      <c r="E72" s="236"/>
      <c r="F72" s="230"/>
      <c r="G72" s="230">
        <f>SUM(G68:G71)</f>
        <v>0</v>
      </c>
      <c r="H72" s="230">
        <f>SUM(H68:H71)</f>
        <v>0</v>
      </c>
    </row>
    <row r="73" spans="1:11" hidden="1">
      <c r="B73" s="236"/>
      <c r="C73" s="237"/>
      <c r="D73" s="237"/>
      <c r="E73" s="236"/>
      <c r="F73" s="230"/>
      <c r="G73" s="230"/>
      <c r="H73" s="229"/>
    </row>
    <row r="74" spans="1:11">
      <c r="B74" s="420" t="s">
        <v>1</v>
      </c>
      <c r="C74" s="420"/>
      <c r="D74" s="420"/>
      <c r="E74" s="420"/>
      <c r="F74" s="420"/>
      <c r="G74" s="227">
        <f>G66+G52+G37+G72</f>
        <v>21296000</v>
      </c>
      <c r="H74" s="227">
        <f>H52+H26+H66+H72</f>
        <v>48.5</v>
      </c>
    </row>
    <row r="75" spans="1:11">
      <c r="B75" s="415" t="s">
        <v>412</v>
      </c>
      <c r="C75" s="415"/>
      <c r="D75" s="415"/>
      <c r="E75" s="415"/>
      <c r="F75" s="415"/>
      <c r="G75" s="415"/>
      <c r="H75" s="415"/>
    </row>
    <row r="76" spans="1:11" hidden="1">
      <c r="B76" s="19"/>
      <c r="G76" s="18"/>
      <c r="I76" s="19"/>
      <c r="J76" s="19"/>
      <c r="K76" s="20"/>
    </row>
    <row r="77" spans="1:11" hidden="1"/>
    <row r="78" spans="1:11" hidden="1"/>
    <row r="79" spans="1:11">
      <c r="A79" t="s">
        <v>720</v>
      </c>
      <c r="B79" t="s">
        <v>720</v>
      </c>
    </row>
    <row r="84" spans="1:7" ht="18.75">
      <c r="B84" s="414" t="s">
        <v>373</v>
      </c>
      <c r="C84" s="414"/>
      <c r="D84" s="414"/>
      <c r="E84" s="414"/>
      <c r="F84" s="414"/>
    </row>
    <row r="85" spans="1:7">
      <c r="B85" s="23" t="s">
        <v>144</v>
      </c>
      <c r="C85" s="57" t="s">
        <v>128</v>
      </c>
      <c r="D85" s="57" t="s">
        <v>150</v>
      </c>
      <c r="E85" s="57" t="s">
        <v>151</v>
      </c>
      <c r="F85" s="57" t="s">
        <v>156</v>
      </c>
    </row>
    <row r="86" spans="1:7">
      <c r="B86" s="381"/>
      <c r="C86" s="382"/>
      <c r="D86" s="381"/>
      <c r="E86" s="383"/>
      <c r="F86" s="384">
        <f t="shared" ref="F86:F91" si="7">D86*E86</f>
        <v>0</v>
      </c>
    </row>
    <row r="87" spans="1:7" hidden="1">
      <c r="B87" s="381"/>
      <c r="C87" s="382"/>
      <c r="D87" s="381"/>
      <c r="E87" s="383"/>
      <c r="F87" s="384">
        <f t="shared" si="7"/>
        <v>0</v>
      </c>
    </row>
    <row r="88" spans="1:7" hidden="1">
      <c r="B88" s="381"/>
      <c r="C88" s="382"/>
      <c r="D88" s="381"/>
      <c r="E88" s="383"/>
      <c r="F88" s="384">
        <f t="shared" si="7"/>
        <v>0</v>
      </c>
    </row>
    <row r="89" spans="1:7" hidden="1">
      <c r="B89" s="381"/>
      <c r="C89" s="382"/>
      <c r="D89" s="381"/>
      <c r="E89" s="383"/>
      <c r="F89" s="384">
        <f t="shared" si="7"/>
        <v>0</v>
      </c>
    </row>
    <row r="90" spans="1:7" hidden="1">
      <c r="B90" s="381"/>
      <c r="C90" s="382"/>
      <c r="D90" s="381"/>
      <c r="E90" s="383"/>
      <c r="F90" s="384">
        <f t="shared" si="7"/>
        <v>0</v>
      </c>
    </row>
    <row r="91" spans="1:7">
      <c r="B91" s="381"/>
      <c r="C91" s="382"/>
      <c r="D91" s="381"/>
      <c r="E91" s="383"/>
      <c r="F91" s="384">
        <f t="shared" si="7"/>
        <v>0</v>
      </c>
    </row>
    <row r="92" spans="1:7">
      <c r="B92" s="429" t="s">
        <v>1</v>
      </c>
      <c r="C92" s="429"/>
      <c r="D92" s="429"/>
      <c r="E92" s="429"/>
      <c r="F92" s="21">
        <f>SUM(F86:F91)</f>
        <v>0</v>
      </c>
    </row>
    <row r="93" spans="1:7">
      <c r="A93" s="415" t="s">
        <v>413</v>
      </c>
      <c r="B93" s="415"/>
      <c r="C93" s="415"/>
      <c r="D93" s="415"/>
      <c r="E93" s="415"/>
      <c r="F93" s="415"/>
      <c r="G93" s="415"/>
    </row>
    <row r="95" spans="1:7" ht="18.75">
      <c r="B95" s="414" t="s">
        <v>372</v>
      </c>
      <c r="C95" s="414"/>
      <c r="D95" s="414"/>
      <c r="E95" s="414"/>
      <c r="F95" s="414"/>
    </row>
    <row r="97" spans="1:7">
      <c r="B97" s="23" t="s">
        <v>144</v>
      </c>
      <c r="C97" s="61" t="s">
        <v>128</v>
      </c>
      <c r="D97" s="61" t="s">
        <v>150</v>
      </c>
      <c r="E97" s="61" t="s">
        <v>151</v>
      </c>
      <c r="F97" s="61" t="s">
        <v>156</v>
      </c>
    </row>
    <row r="98" spans="1:7">
      <c r="B98" s="381">
        <v>1</v>
      </c>
      <c r="C98" s="382" t="s">
        <v>681</v>
      </c>
      <c r="D98" s="381">
        <v>1</v>
      </c>
      <c r="E98" s="383">
        <v>695211</v>
      </c>
      <c r="F98" s="384">
        <f t="shared" ref="F98:F103" si="8">D98*E98</f>
        <v>695211</v>
      </c>
    </row>
    <row r="99" spans="1:7">
      <c r="B99" s="381"/>
      <c r="C99" s="382"/>
      <c r="D99" s="381"/>
      <c r="E99" s="383"/>
      <c r="F99" s="384">
        <f t="shared" si="8"/>
        <v>0</v>
      </c>
    </row>
    <row r="100" spans="1:7">
      <c r="B100" s="381"/>
      <c r="C100" s="382"/>
      <c r="D100" s="381"/>
      <c r="E100" s="383"/>
      <c r="F100" s="384">
        <f t="shared" si="8"/>
        <v>0</v>
      </c>
    </row>
    <row r="101" spans="1:7">
      <c r="B101" s="381"/>
      <c r="C101" s="382"/>
      <c r="D101" s="381"/>
      <c r="E101" s="383"/>
      <c r="F101" s="384">
        <f t="shared" si="8"/>
        <v>0</v>
      </c>
    </row>
    <row r="102" spans="1:7">
      <c r="B102" s="381"/>
      <c r="C102" s="382"/>
      <c r="D102" s="381"/>
      <c r="E102" s="383"/>
      <c r="F102" s="384">
        <f t="shared" si="8"/>
        <v>0</v>
      </c>
    </row>
    <row r="103" spans="1:7">
      <c r="B103" s="381"/>
      <c r="C103" s="382"/>
      <c r="D103" s="381"/>
      <c r="E103" s="383"/>
      <c r="F103" s="384">
        <f t="shared" si="8"/>
        <v>0</v>
      </c>
    </row>
    <row r="104" spans="1:7">
      <c r="B104" s="429" t="s">
        <v>1</v>
      </c>
      <c r="C104" s="429"/>
      <c r="D104" s="429"/>
      <c r="E104" s="429"/>
      <c r="F104" s="21">
        <f>SUM(F98:F103)</f>
        <v>695211</v>
      </c>
    </row>
    <row r="106" spans="1:7">
      <c r="A106" s="415" t="s">
        <v>413</v>
      </c>
      <c r="B106" s="415"/>
      <c r="C106" s="415"/>
      <c r="D106" s="415"/>
      <c r="E106" s="415"/>
      <c r="F106" s="415"/>
      <c r="G106" s="415"/>
    </row>
    <row r="107" spans="1:7" ht="18.75">
      <c r="B107" s="414" t="s">
        <v>628</v>
      </c>
      <c r="C107" s="414"/>
      <c r="D107" s="414"/>
      <c r="E107" s="414"/>
      <c r="F107" s="414"/>
    </row>
    <row r="109" spans="1:7" ht="28.5">
      <c r="B109" s="213" t="s">
        <v>144</v>
      </c>
      <c r="C109" s="214" t="s">
        <v>128</v>
      </c>
      <c r="D109" s="214" t="s">
        <v>150</v>
      </c>
      <c r="E109" s="214" t="s">
        <v>151</v>
      </c>
      <c r="F109" s="214" t="s">
        <v>156</v>
      </c>
    </row>
    <row r="110" spans="1:7">
      <c r="B110" s="379"/>
      <c r="C110" s="223"/>
      <c r="D110" s="379"/>
      <c r="E110" s="385"/>
      <c r="F110" s="380">
        <f>E110*D110</f>
        <v>0</v>
      </c>
    </row>
    <row r="111" spans="1:7">
      <c r="B111" s="379"/>
      <c r="C111" s="223"/>
      <c r="D111" s="379"/>
      <c r="E111" s="385"/>
      <c r="F111" s="380">
        <f>E111*D111</f>
        <v>0</v>
      </c>
    </row>
    <row r="112" spans="1:7">
      <c r="B112" s="379"/>
      <c r="C112" s="223"/>
      <c r="D112" s="379"/>
      <c r="E112" s="385"/>
      <c r="F112" s="380">
        <f>E112*D112</f>
        <v>0</v>
      </c>
    </row>
    <row r="113" spans="1:7">
      <c r="B113" s="420" t="s">
        <v>1</v>
      </c>
      <c r="C113" s="420"/>
      <c r="D113" s="420"/>
      <c r="E113" s="420"/>
      <c r="F113" s="216">
        <f>SUM(F110:F112)</f>
        <v>0</v>
      </c>
    </row>
    <row r="114" spans="1:7">
      <c r="A114" s="428" t="s">
        <v>450</v>
      </c>
      <c r="B114" s="428"/>
      <c r="C114" s="428"/>
      <c r="D114" s="428"/>
      <c r="E114" s="428"/>
      <c r="F114" s="428"/>
      <c r="G114" s="428"/>
    </row>
    <row r="115" spans="1:7" ht="19.5" thickBot="1">
      <c r="B115" s="414" t="s">
        <v>254</v>
      </c>
      <c r="C115" s="414"/>
      <c r="D115" s="414"/>
    </row>
    <row r="116" spans="1:7" ht="29.25" thickBot="1">
      <c r="B116" s="225" t="s">
        <v>144</v>
      </c>
      <c r="C116" s="226" t="s">
        <v>128</v>
      </c>
      <c r="D116" s="226" t="s">
        <v>371</v>
      </c>
    </row>
    <row r="117" spans="1:7" ht="15.75" thickBot="1">
      <c r="B117" s="386"/>
      <c r="C117" s="387"/>
      <c r="D117" s="387"/>
    </row>
    <row r="118" spans="1:7" ht="15.75" thickBot="1">
      <c r="B118" s="386">
        <v>1</v>
      </c>
      <c r="C118" s="387" t="s">
        <v>710</v>
      </c>
      <c r="D118" s="387">
        <f>30920+30000+1100+920</f>
        <v>62940</v>
      </c>
    </row>
    <row r="119" spans="1:7" ht="15.75" thickBot="1">
      <c r="B119" s="386"/>
      <c r="C119" s="387"/>
      <c r="D119" s="387"/>
    </row>
    <row r="120" spans="1:7" ht="15.75" thickBot="1">
      <c r="B120" s="424" t="s">
        <v>1</v>
      </c>
      <c r="C120" s="425"/>
      <c r="D120" s="388">
        <f>SUM(D117:D119)</f>
        <v>62940</v>
      </c>
    </row>
    <row r="122" spans="1:7" ht="25.5" customHeight="1">
      <c r="A122" s="426" t="s">
        <v>451</v>
      </c>
      <c r="B122" s="426"/>
      <c r="C122" s="426"/>
      <c r="D122" s="426"/>
      <c r="E122" s="426"/>
    </row>
  </sheetData>
  <mergeCells count="22">
    <mergeCell ref="B120:C120"/>
    <mergeCell ref="A122:E122"/>
    <mergeCell ref="B72:C72"/>
    <mergeCell ref="A106:G106"/>
    <mergeCell ref="B113:E113"/>
    <mergeCell ref="B107:F107"/>
    <mergeCell ref="A114:G114"/>
    <mergeCell ref="B115:D115"/>
    <mergeCell ref="B92:E92"/>
    <mergeCell ref="B84:F84"/>
    <mergeCell ref="A93:G93"/>
    <mergeCell ref="B104:E104"/>
    <mergeCell ref="B95:F95"/>
    <mergeCell ref="B17:F17"/>
    <mergeCell ref="B2:G2"/>
    <mergeCell ref="B20:G20"/>
    <mergeCell ref="B75:H75"/>
    <mergeCell ref="B74:F74"/>
    <mergeCell ref="B22:H22"/>
    <mergeCell ref="B37:C37"/>
    <mergeCell ref="B52:C52"/>
    <mergeCell ref="B66:C66"/>
  </mergeCells>
  <hyperlinks>
    <hyperlink ref="C62" r:id="rId1"/>
  </hyperlinks>
  <pageMargins left="0.70866141732283472" right="0.70866141732283472" top="0.74803149606299213" bottom="0.74803149606299213" header="0.31496062992125984" footer="0.31496062992125984"/>
  <pageSetup scale="75"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zoomScale="80" zoomScaleSheetLayoutView="80" workbookViewId="0">
      <selection activeCell="D16" sqref="D16"/>
    </sheetView>
  </sheetViews>
  <sheetFormatPr defaultRowHeight="15"/>
  <cols>
    <col min="1" max="1" width="41.28515625" customWidth="1"/>
    <col min="2" max="2" width="17.28515625"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28515625" customWidth="1"/>
    <col min="13" max="13" width="13.5703125" customWidth="1"/>
    <col min="14" max="14" width="17" customWidth="1"/>
    <col min="15" max="15" width="13.7109375" customWidth="1"/>
    <col min="16" max="16" width="14" customWidth="1"/>
    <col min="17" max="17" width="15.42578125" customWidth="1"/>
  </cols>
  <sheetData>
    <row r="2" spans="1:11" ht="18.75">
      <c r="A2" s="417" t="s">
        <v>550</v>
      </c>
      <c r="B2" s="417"/>
      <c r="C2" s="417"/>
      <c r="D2" s="417"/>
      <c r="E2" s="417"/>
      <c r="F2" s="417"/>
      <c r="G2" s="417"/>
      <c r="H2" s="417"/>
      <c r="I2" s="417"/>
      <c r="J2" s="417"/>
      <c r="K2" s="417"/>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132</v>
      </c>
      <c r="C6" s="147" t="s">
        <v>389</v>
      </c>
      <c r="D6" s="147" t="s">
        <v>288</v>
      </c>
      <c r="E6" s="119" t="s">
        <v>2</v>
      </c>
      <c r="F6" s="119" t="s">
        <v>3</v>
      </c>
      <c r="G6" s="119" t="s">
        <v>4</v>
      </c>
      <c r="H6" s="119" t="s">
        <v>5</v>
      </c>
      <c r="I6" s="119" t="s">
        <v>6</v>
      </c>
      <c r="J6" s="119" t="s">
        <v>167</v>
      </c>
      <c r="K6" s="119" t="s">
        <v>166</v>
      </c>
    </row>
    <row r="7" spans="1:11">
      <c r="A7" s="94"/>
      <c r="B7" s="94"/>
      <c r="C7" s="94"/>
      <c r="D7" s="94"/>
      <c r="E7" s="94"/>
      <c r="F7" s="94"/>
      <c r="G7" s="94"/>
      <c r="H7" s="94"/>
      <c r="I7" s="94"/>
      <c r="J7" s="94"/>
      <c r="K7" s="94"/>
    </row>
    <row r="8" spans="1:11">
      <c r="A8" s="94" t="s">
        <v>327</v>
      </c>
      <c r="B8" s="94" t="s">
        <v>390</v>
      </c>
      <c r="C8" s="229">
        <v>2</v>
      </c>
      <c r="D8" s="247">
        <v>25500</v>
      </c>
      <c r="E8" s="95">
        <f>$C8*$D8*12*E$4</f>
        <v>612000</v>
      </c>
      <c r="F8" s="95">
        <f t="shared" ref="F8:K8" si="1">$C8*$D8*12*F$4</f>
        <v>642600</v>
      </c>
      <c r="G8" s="95">
        <f t="shared" si="1"/>
        <v>674730</v>
      </c>
      <c r="H8" s="95">
        <f t="shared" si="1"/>
        <v>708466.50000000012</v>
      </c>
      <c r="I8" s="95">
        <f t="shared" si="1"/>
        <v>743889.82500000019</v>
      </c>
      <c r="J8" s="95">
        <f t="shared" si="1"/>
        <v>781084.31625000027</v>
      </c>
      <c r="K8" s="95">
        <f t="shared" si="1"/>
        <v>820138.53206250025</v>
      </c>
    </row>
    <row r="9" spans="1:11">
      <c r="A9" s="94" t="s">
        <v>187</v>
      </c>
      <c r="B9" s="94" t="s">
        <v>390</v>
      </c>
      <c r="C9" s="229">
        <v>2</v>
      </c>
      <c r="D9" s="247">
        <v>25500</v>
      </c>
      <c r="E9" s="95">
        <f>$C9*$D9*12*E$4</f>
        <v>612000</v>
      </c>
      <c r="F9" s="95">
        <f t="shared" ref="F9:K10" si="2">$C9*$D9*12*F$4</f>
        <v>642600</v>
      </c>
      <c r="G9" s="95">
        <f t="shared" si="2"/>
        <v>674730</v>
      </c>
      <c r="H9" s="95">
        <f t="shared" si="2"/>
        <v>708466.50000000012</v>
      </c>
      <c r="I9" s="95">
        <f t="shared" si="2"/>
        <v>743889.82500000019</v>
      </c>
      <c r="J9" s="95">
        <f t="shared" si="2"/>
        <v>781084.31625000027</v>
      </c>
      <c r="K9" s="95">
        <f t="shared" si="2"/>
        <v>820138.53206250025</v>
      </c>
    </row>
    <row r="10" spans="1:11">
      <c r="A10" s="94" t="s">
        <v>192</v>
      </c>
      <c r="B10" s="94" t="s">
        <v>390</v>
      </c>
      <c r="C10" s="229">
        <v>1</v>
      </c>
      <c r="D10" s="247">
        <v>25500</v>
      </c>
      <c r="E10" s="95">
        <f>$C10*$D10*12*E$4</f>
        <v>306000</v>
      </c>
      <c r="F10" s="95">
        <f t="shared" si="2"/>
        <v>321300</v>
      </c>
      <c r="G10" s="95">
        <f t="shared" si="2"/>
        <v>337365</v>
      </c>
      <c r="H10" s="95">
        <f t="shared" si="2"/>
        <v>354233.25000000006</v>
      </c>
      <c r="I10" s="95">
        <f t="shared" si="2"/>
        <v>371944.91250000009</v>
      </c>
      <c r="J10" s="95">
        <f t="shared" si="2"/>
        <v>390542.15812500013</v>
      </c>
      <c r="K10" s="95">
        <f t="shared" si="2"/>
        <v>410069.26603125012</v>
      </c>
    </row>
    <row r="11" spans="1:11">
      <c r="A11" s="94" t="s">
        <v>130</v>
      </c>
      <c r="B11" s="94" t="s">
        <v>391</v>
      </c>
      <c r="C11" s="94">
        <v>12</v>
      </c>
      <c r="D11" s="247">
        <v>25500</v>
      </c>
      <c r="E11" s="95">
        <f>$C11*$D11*E$4</f>
        <v>306000</v>
      </c>
      <c r="F11" s="95">
        <f t="shared" ref="F11:K15" si="3">$C11*$D11*F$4</f>
        <v>321300</v>
      </c>
      <c r="G11" s="95">
        <f t="shared" si="3"/>
        <v>337365</v>
      </c>
      <c r="H11" s="95">
        <f t="shared" si="3"/>
        <v>354233.25000000006</v>
      </c>
      <c r="I11" s="95">
        <f t="shared" si="3"/>
        <v>371944.91250000009</v>
      </c>
      <c r="J11" s="95">
        <f t="shared" si="3"/>
        <v>390542.15812500013</v>
      </c>
      <c r="K11" s="95">
        <f t="shared" si="3"/>
        <v>410069.26603125012</v>
      </c>
    </row>
    <row r="12" spans="1:11">
      <c r="A12" s="94" t="s">
        <v>10</v>
      </c>
      <c r="B12" s="94" t="s">
        <v>391</v>
      </c>
      <c r="C12" s="94">
        <v>12</v>
      </c>
      <c r="D12" s="247">
        <v>26500</v>
      </c>
      <c r="E12" s="95">
        <f t="shared" ref="E12:E15" si="4">$C12*$D12*E$4</f>
        <v>318000</v>
      </c>
      <c r="F12" s="95">
        <f t="shared" si="3"/>
        <v>333900</v>
      </c>
      <c r="G12" s="95">
        <f t="shared" si="3"/>
        <v>350595</v>
      </c>
      <c r="H12" s="95">
        <f t="shared" si="3"/>
        <v>368124.75000000006</v>
      </c>
      <c r="I12" s="95">
        <f t="shared" si="3"/>
        <v>386530.98750000005</v>
      </c>
      <c r="J12" s="95">
        <f t="shared" si="3"/>
        <v>405857.53687500011</v>
      </c>
      <c r="K12" s="95">
        <f t="shared" si="3"/>
        <v>426150.41371875012</v>
      </c>
    </row>
    <row r="13" spans="1:11">
      <c r="A13" s="94" t="s">
        <v>188</v>
      </c>
      <c r="B13" s="94" t="s">
        <v>391</v>
      </c>
      <c r="C13" s="94">
        <v>12</v>
      </c>
      <c r="D13" s="247">
        <v>24200</v>
      </c>
      <c r="E13" s="95">
        <f t="shared" si="4"/>
        <v>290400</v>
      </c>
      <c r="F13" s="95">
        <f t="shared" si="3"/>
        <v>304920</v>
      </c>
      <c r="G13" s="95">
        <f t="shared" si="3"/>
        <v>320166</v>
      </c>
      <c r="H13" s="95">
        <f t="shared" si="3"/>
        <v>336174.30000000005</v>
      </c>
      <c r="I13" s="95">
        <f t="shared" si="3"/>
        <v>352983.01500000007</v>
      </c>
      <c r="J13" s="95">
        <f t="shared" si="3"/>
        <v>370632.1657500001</v>
      </c>
      <c r="K13" s="95">
        <f t="shared" si="3"/>
        <v>389163.77403750014</v>
      </c>
    </row>
    <row r="14" spans="1:11">
      <c r="A14" s="94" t="s">
        <v>158</v>
      </c>
      <c r="B14" s="94" t="s">
        <v>391</v>
      </c>
      <c r="C14" s="94">
        <v>12</v>
      </c>
      <c r="D14" s="247">
        <v>24800</v>
      </c>
      <c r="E14" s="95">
        <f t="shared" si="4"/>
        <v>297600</v>
      </c>
      <c r="F14" s="95">
        <f t="shared" si="3"/>
        <v>312480</v>
      </c>
      <c r="G14" s="95">
        <f t="shared" si="3"/>
        <v>328104</v>
      </c>
      <c r="H14" s="95">
        <f t="shared" si="3"/>
        <v>344509.2</v>
      </c>
      <c r="I14" s="95">
        <f t="shared" si="3"/>
        <v>361734.66000000009</v>
      </c>
      <c r="J14" s="95">
        <f t="shared" si="3"/>
        <v>379821.3930000001</v>
      </c>
      <c r="K14" s="95">
        <f t="shared" si="3"/>
        <v>398812.46265000012</v>
      </c>
    </row>
    <row r="15" spans="1:11">
      <c r="A15" s="94" t="s">
        <v>189</v>
      </c>
      <c r="B15" s="94" t="s">
        <v>391</v>
      </c>
      <c r="C15" s="94">
        <v>12</v>
      </c>
      <c r="D15" s="247">
        <v>28400</v>
      </c>
      <c r="E15" s="95">
        <f t="shared" si="4"/>
        <v>340800</v>
      </c>
      <c r="F15" s="95">
        <f t="shared" si="3"/>
        <v>357840</v>
      </c>
      <c r="G15" s="95">
        <f t="shared" si="3"/>
        <v>375732</v>
      </c>
      <c r="H15" s="95">
        <f t="shared" si="3"/>
        <v>394518.60000000003</v>
      </c>
      <c r="I15" s="95">
        <f t="shared" si="3"/>
        <v>414244.53000000009</v>
      </c>
      <c r="J15" s="95">
        <f t="shared" si="3"/>
        <v>434956.75650000013</v>
      </c>
      <c r="K15" s="95">
        <f t="shared" si="3"/>
        <v>456704.59432500013</v>
      </c>
    </row>
    <row r="16" spans="1:11">
      <c r="A16" s="94" t="s">
        <v>190</v>
      </c>
      <c r="B16" s="94" t="s">
        <v>392</v>
      </c>
      <c r="C16" s="94">
        <v>1</v>
      </c>
      <c r="D16" s="247">
        <v>250000</v>
      </c>
      <c r="E16" s="95">
        <f>$D16*E$4*$C16</f>
        <v>250000</v>
      </c>
      <c r="F16" s="95">
        <f t="shared" ref="F16:K22" si="5">$D16*F$4*$C16</f>
        <v>262500</v>
      </c>
      <c r="G16" s="95">
        <f t="shared" si="5"/>
        <v>275625</v>
      </c>
      <c r="H16" s="95">
        <f t="shared" si="5"/>
        <v>289406.25000000006</v>
      </c>
      <c r="I16" s="95">
        <f t="shared" si="5"/>
        <v>303876.56250000006</v>
      </c>
      <c r="J16" s="95">
        <f t="shared" si="5"/>
        <v>319070.39062500012</v>
      </c>
      <c r="K16" s="95">
        <f t="shared" si="5"/>
        <v>335023.91015625012</v>
      </c>
    </row>
    <row r="17" spans="1:17">
      <c r="A17" s="94"/>
      <c r="B17" s="94"/>
      <c r="C17" s="94"/>
      <c r="D17" s="247"/>
      <c r="E17" s="95">
        <f t="shared" ref="E17:E22" si="6">$D17*E$4*$C17</f>
        <v>0</v>
      </c>
      <c r="F17" s="95">
        <f t="shared" si="5"/>
        <v>0</v>
      </c>
      <c r="G17" s="95">
        <f t="shared" si="5"/>
        <v>0</v>
      </c>
      <c r="H17" s="95">
        <f t="shared" si="5"/>
        <v>0</v>
      </c>
      <c r="I17" s="95">
        <f t="shared" si="5"/>
        <v>0</v>
      </c>
      <c r="J17" s="95">
        <f t="shared" si="5"/>
        <v>0</v>
      </c>
      <c r="K17" s="95">
        <f t="shared" si="5"/>
        <v>0</v>
      </c>
    </row>
    <row r="18" spans="1:17">
      <c r="A18" s="94"/>
      <c r="B18" s="94"/>
      <c r="C18" s="94"/>
      <c r="D18" s="247"/>
      <c r="E18" s="95">
        <f t="shared" si="6"/>
        <v>0</v>
      </c>
      <c r="F18" s="95">
        <f t="shared" si="5"/>
        <v>0</v>
      </c>
      <c r="G18" s="95">
        <f t="shared" si="5"/>
        <v>0</v>
      </c>
      <c r="H18" s="95">
        <f t="shared" si="5"/>
        <v>0</v>
      </c>
      <c r="I18" s="95">
        <f t="shared" si="5"/>
        <v>0</v>
      </c>
      <c r="J18" s="95">
        <f t="shared" si="5"/>
        <v>0</v>
      </c>
      <c r="K18" s="95">
        <f t="shared" si="5"/>
        <v>0</v>
      </c>
    </row>
    <row r="19" spans="1:17">
      <c r="A19" s="94"/>
      <c r="B19" s="94"/>
      <c r="C19" s="94"/>
      <c r="D19" s="247"/>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7"/>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7"/>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95"/>
      <c r="E22" s="95">
        <f t="shared" si="6"/>
        <v>0</v>
      </c>
      <c r="F22" s="95">
        <f t="shared" si="5"/>
        <v>0</v>
      </c>
      <c r="G22" s="95">
        <f t="shared" si="5"/>
        <v>0</v>
      </c>
      <c r="H22" s="95">
        <f t="shared" si="5"/>
        <v>0</v>
      </c>
      <c r="I22" s="95">
        <f t="shared" si="5"/>
        <v>0</v>
      </c>
      <c r="J22" s="95">
        <f t="shared" si="5"/>
        <v>0</v>
      </c>
      <c r="K22" s="95">
        <f t="shared" si="5"/>
        <v>0</v>
      </c>
    </row>
    <row r="23" spans="1:17">
      <c r="A23" s="96" t="s">
        <v>131</v>
      </c>
      <c r="B23" s="96"/>
      <c r="C23" s="96"/>
      <c r="D23" s="114"/>
      <c r="E23" s="114">
        <f>SUM(E8:E22)</f>
        <v>3332800</v>
      </c>
      <c r="F23" s="114">
        <f t="shared" ref="F23:K23" si="7">SUM(F8:F22)</f>
        <v>3499440</v>
      </c>
      <c r="G23" s="114">
        <f t="shared" si="7"/>
        <v>3674412</v>
      </c>
      <c r="H23" s="114">
        <f t="shared" si="7"/>
        <v>3858132.600000001</v>
      </c>
      <c r="I23" s="114">
        <f t="shared" si="7"/>
        <v>4051039.2300000009</v>
      </c>
      <c r="J23" s="114">
        <f t="shared" si="7"/>
        <v>4253591.1915000016</v>
      </c>
      <c r="K23" s="114">
        <f t="shared" si="7"/>
        <v>4466270.7510750014</v>
      </c>
    </row>
    <row r="28" spans="1:17">
      <c r="A28" s="432"/>
      <c r="B28" s="432"/>
      <c r="C28" s="432"/>
      <c r="D28" s="432"/>
      <c r="E28" s="432"/>
      <c r="F28" s="432"/>
      <c r="G28" s="432"/>
      <c r="H28" s="432"/>
      <c r="I28" s="432"/>
      <c r="J28" s="432"/>
      <c r="K28" s="432"/>
      <c r="L28" s="432"/>
      <c r="M28" s="432"/>
      <c r="N28" s="432"/>
      <c r="O28" s="432"/>
    </row>
    <row r="29" spans="1:17" ht="18.75">
      <c r="A29" s="430" t="s">
        <v>699</v>
      </c>
      <c r="B29" s="430"/>
      <c r="C29" s="430"/>
      <c r="D29" s="430"/>
      <c r="E29" s="430"/>
      <c r="F29" s="430"/>
      <c r="G29" s="430"/>
      <c r="H29" s="430"/>
      <c r="I29" s="430"/>
      <c r="J29" s="430"/>
      <c r="K29" s="430"/>
      <c r="L29" s="430"/>
      <c r="M29" s="430"/>
      <c r="N29" s="430"/>
      <c r="O29" s="430"/>
      <c r="P29" s="430"/>
      <c r="Q29" s="430"/>
    </row>
    <row r="30" spans="1:17" s="13" customFormat="1">
      <c r="A30" s="148"/>
      <c r="B30" s="148"/>
      <c r="C30" s="148"/>
      <c r="D30" s="148"/>
      <c r="E30" s="148"/>
      <c r="F30" s="148"/>
      <c r="G30" s="148"/>
      <c r="H30" s="148"/>
      <c r="I30" s="148"/>
      <c r="J30" s="148"/>
      <c r="K30" s="148"/>
      <c r="L30" s="148"/>
      <c r="M30" s="148"/>
      <c r="N30" s="148"/>
      <c r="O30" s="148"/>
    </row>
    <row r="31" spans="1:17">
      <c r="A31" s="93"/>
      <c r="B31" s="93"/>
      <c r="C31" s="433" t="s">
        <v>193</v>
      </c>
      <c r="D31" s="433"/>
      <c r="E31" s="433"/>
      <c r="F31" s="433"/>
      <c r="G31" s="433"/>
      <c r="H31" s="433"/>
      <c r="I31" s="433"/>
      <c r="J31" s="93"/>
      <c r="K31" s="434" t="s">
        <v>194</v>
      </c>
      <c r="L31" s="434"/>
      <c r="M31" s="434"/>
      <c r="N31" s="434"/>
      <c r="O31" s="434"/>
      <c r="P31" s="434"/>
      <c r="Q31" s="434"/>
    </row>
    <row r="32" spans="1:17">
      <c r="A32" s="168" t="s">
        <v>0</v>
      </c>
      <c r="B32" s="161"/>
      <c r="C32" s="59" t="s">
        <v>2</v>
      </c>
      <c r="D32" s="59" t="s">
        <v>3</v>
      </c>
      <c r="E32" s="59" t="s">
        <v>4</v>
      </c>
      <c r="F32" s="59" t="s">
        <v>5</v>
      </c>
      <c r="G32" s="59" t="s">
        <v>6</v>
      </c>
      <c r="H32" s="59" t="s">
        <v>167</v>
      </c>
      <c r="I32" s="59" t="s">
        <v>166</v>
      </c>
      <c r="J32" s="169"/>
      <c r="K32" s="59" t="s">
        <v>2</v>
      </c>
      <c r="L32" s="59" t="s">
        <v>3</v>
      </c>
      <c r="M32" s="59" t="s">
        <v>4</v>
      </c>
      <c r="N32" s="59" t="s">
        <v>5</v>
      </c>
      <c r="O32" s="59" t="s">
        <v>6</v>
      </c>
      <c r="P32" s="59" t="s">
        <v>167</v>
      </c>
      <c r="Q32" s="59" t="s">
        <v>166</v>
      </c>
    </row>
    <row r="33" spans="1:17">
      <c r="A33" s="162" t="s">
        <v>195</v>
      </c>
      <c r="B33" s="98"/>
      <c r="C33" s="98"/>
      <c r="D33" s="98"/>
      <c r="E33" s="98"/>
      <c r="F33" s="98"/>
      <c r="G33" s="163"/>
      <c r="H33" s="163"/>
      <c r="I33" s="163"/>
      <c r="J33" s="98"/>
      <c r="K33" s="98"/>
      <c r="L33" s="98"/>
      <c r="M33" s="98"/>
      <c r="N33" s="98"/>
      <c r="O33" s="163"/>
      <c r="P33" s="163"/>
      <c r="Q33" s="163"/>
    </row>
    <row r="34" spans="1:17">
      <c r="A34" s="162"/>
      <c r="B34" s="98"/>
      <c r="C34" s="98"/>
      <c r="D34" s="98"/>
      <c r="E34" s="98"/>
      <c r="F34" s="98"/>
      <c r="G34" s="163"/>
      <c r="H34" s="163"/>
      <c r="I34" s="163"/>
      <c r="J34" s="98"/>
      <c r="K34" s="98"/>
      <c r="L34" s="98"/>
      <c r="M34" s="98"/>
      <c r="N34" s="98"/>
      <c r="O34" s="163"/>
      <c r="P34" s="163"/>
      <c r="Q34" s="163"/>
    </row>
    <row r="35" spans="1:17">
      <c r="A35" s="164"/>
      <c r="B35" s="164"/>
      <c r="C35" s="98"/>
      <c r="D35" s="98"/>
      <c r="E35" s="98"/>
      <c r="F35" s="98"/>
      <c r="G35" s="98"/>
      <c r="H35" s="98"/>
      <c r="I35" s="98"/>
      <c r="J35" s="98"/>
      <c r="K35" s="98"/>
      <c r="L35" s="98"/>
      <c r="M35" s="98"/>
      <c r="N35" s="98"/>
      <c r="O35" s="98"/>
      <c r="P35" s="98"/>
      <c r="Q35" s="98"/>
    </row>
    <row r="36" spans="1:17">
      <c r="A36" s="165" t="s">
        <v>199</v>
      </c>
      <c r="B36" s="165"/>
      <c r="C36" s="98"/>
      <c r="D36" s="98"/>
      <c r="E36" s="98"/>
      <c r="F36" s="98"/>
      <c r="G36" s="98"/>
      <c r="H36" s="98"/>
      <c r="I36" s="98"/>
      <c r="J36" s="98"/>
      <c r="K36" s="98"/>
      <c r="L36" s="98"/>
      <c r="M36" s="98"/>
      <c r="N36" s="98"/>
      <c r="O36" s="98"/>
      <c r="P36" s="98"/>
      <c r="Q36" s="98"/>
    </row>
    <row r="37" spans="1:17">
      <c r="A37" s="164" t="s">
        <v>196</v>
      </c>
      <c r="B37" s="164"/>
      <c r="C37" s="166">
        <f>'1.Project Cost and MOF'!D6</f>
        <v>19365041.48</v>
      </c>
      <c r="D37" s="166">
        <f t="shared" ref="D37:I37" si="8">C40</f>
        <v>18751169.665084001</v>
      </c>
      <c r="E37" s="166">
        <f t="shared" si="8"/>
        <v>18137297.850168001</v>
      </c>
      <c r="F37" s="166">
        <f t="shared" si="8"/>
        <v>17523426.035252001</v>
      </c>
      <c r="G37" s="166">
        <f t="shared" si="8"/>
        <v>16909554.220336001</v>
      </c>
      <c r="H37" s="166">
        <f t="shared" si="8"/>
        <v>16295682.405420002</v>
      </c>
      <c r="I37" s="166">
        <f t="shared" si="8"/>
        <v>15681810.590504002</v>
      </c>
      <c r="J37" s="98"/>
      <c r="K37" s="166">
        <f>C37</f>
        <v>19365041.48</v>
      </c>
      <c r="L37" s="166">
        <f t="shared" ref="L37:Q37" si="9">K40</f>
        <v>17428537.332000002</v>
      </c>
      <c r="M37" s="166">
        <f t="shared" si="9"/>
        <v>15685683.598800002</v>
      </c>
      <c r="N37" s="166">
        <f t="shared" si="9"/>
        <v>14117115.238920001</v>
      </c>
      <c r="O37" s="166">
        <f t="shared" si="9"/>
        <v>12705403.715028001</v>
      </c>
      <c r="P37" s="166">
        <f t="shared" si="9"/>
        <v>11434863.343525201</v>
      </c>
      <c r="Q37" s="166">
        <f t="shared" si="9"/>
        <v>10291377.009172682</v>
      </c>
    </row>
    <row r="38" spans="1:17">
      <c r="A38" s="164" t="s">
        <v>17</v>
      </c>
      <c r="B38" s="164"/>
      <c r="C38" s="166">
        <f t="shared" ref="C38:I38" si="10">$C$37*$B$74</f>
        <v>613871.814916</v>
      </c>
      <c r="D38" s="166">
        <f t="shared" si="10"/>
        <v>613871.814916</v>
      </c>
      <c r="E38" s="166">
        <f t="shared" si="10"/>
        <v>613871.814916</v>
      </c>
      <c r="F38" s="166">
        <f t="shared" si="10"/>
        <v>613871.814916</v>
      </c>
      <c r="G38" s="166">
        <f t="shared" si="10"/>
        <v>613871.814916</v>
      </c>
      <c r="H38" s="166">
        <f t="shared" si="10"/>
        <v>613871.814916</v>
      </c>
      <c r="I38" s="166">
        <f t="shared" si="10"/>
        <v>613871.814916</v>
      </c>
      <c r="J38" s="98"/>
      <c r="K38" s="166">
        <f t="shared" ref="K38:Q38" si="11">K37*$C$74</f>
        <v>1936504.148</v>
      </c>
      <c r="L38" s="166">
        <f t="shared" si="11"/>
        <v>1742853.7332000004</v>
      </c>
      <c r="M38" s="166">
        <f t="shared" si="11"/>
        <v>1568568.3598800004</v>
      </c>
      <c r="N38" s="166">
        <f t="shared" si="11"/>
        <v>1411711.5238920003</v>
      </c>
      <c r="O38" s="166">
        <f t="shared" si="11"/>
        <v>1270540.3715028001</v>
      </c>
      <c r="P38" s="166">
        <f t="shared" si="11"/>
        <v>1143486.3343525201</v>
      </c>
      <c r="Q38" s="166">
        <f t="shared" si="11"/>
        <v>1029137.7009172682</v>
      </c>
    </row>
    <row r="39" spans="1:17">
      <c r="A39" s="164" t="s">
        <v>197</v>
      </c>
      <c r="B39" s="164"/>
      <c r="C39" s="166">
        <f>C38</f>
        <v>613871.814916</v>
      </c>
      <c r="D39" s="166">
        <f t="shared" ref="D39:I39" si="12">C39+D38</f>
        <v>1227743.629832</v>
      </c>
      <c r="E39" s="166">
        <f t="shared" si="12"/>
        <v>1841615.444748</v>
      </c>
      <c r="F39" s="166">
        <f t="shared" si="12"/>
        <v>2455487.259664</v>
      </c>
      <c r="G39" s="166">
        <f t="shared" si="12"/>
        <v>3069359.0745799998</v>
      </c>
      <c r="H39" s="166">
        <f t="shared" si="12"/>
        <v>3683230.8894959996</v>
      </c>
      <c r="I39" s="166">
        <f t="shared" si="12"/>
        <v>4297102.7044119993</v>
      </c>
      <c r="J39" s="98"/>
      <c r="K39" s="166">
        <f>K38</f>
        <v>1936504.148</v>
      </c>
      <c r="L39" s="166">
        <f t="shared" ref="L39:Q39" si="13">K39+L38</f>
        <v>3679357.8812000006</v>
      </c>
      <c r="M39" s="166">
        <f t="shared" si="13"/>
        <v>5247926.241080001</v>
      </c>
      <c r="N39" s="166">
        <f t="shared" si="13"/>
        <v>6659637.7649720013</v>
      </c>
      <c r="O39" s="166">
        <f t="shared" si="13"/>
        <v>7930178.1364748012</v>
      </c>
      <c r="P39" s="166">
        <f t="shared" si="13"/>
        <v>9073664.4708273206</v>
      </c>
      <c r="Q39" s="166">
        <f t="shared" si="13"/>
        <v>10102802.171744589</v>
      </c>
    </row>
    <row r="40" spans="1:17">
      <c r="A40" s="164" t="s">
        <v>198</v>
      </c>
      <c r="B40" s="164"/>
      <c r="C40" s="166">
        <f t="shared" ref="C40:I40" si="14">C37-C38</f>
        <v>18751169.665084001</v>
      </c>
      <c r="D40" s="166">
        <f t="shared" si="14"/>
        <v>18137297.850168001</v>
      </c>
      <c r="E40" s="166">
        <f t="shared" si="14"/>
        <v>17523426.035252001</v>
      </c>
      <c r="F40" s="166">
        <f t="shared" si="14"/>
        <v>16909554.220336001</v>
      </c>
      <c r="G40" s="166">
        <f t="shared" si="14"/>
        <v>16295682.405420002</v>
      </c>
      <c r="H40" s="166">
        <f t="shared" si="14"/>
        <v>15681810.590504002</v>
      </c>
      <c r="I40" s="166">
        <f t="shared" si="14"/>
        <v>15067938.775588002</v>
      </c>
      <c r="J40" s="98"/>
      <c r="K40" s="166">
        <f t="shared" ref="K40:Q40" si="15">K37-K38</f>
        <v>17428537.332000002</v>
      </c>
      <c r="L40" s="166">
        <f t="shared" si="15"/>
        <v>15685683.598800002</v>
      </c>
      <c r="M40" s="166">
        <f t="shared" si="15"/>
        <v>14117115.238920001</v>
      </c>
      <c r="N40" s="166">
        <f t="shared" si="15"/>
        <v>12705403.715028001</v>
      </c>
      <c r="O40" s="166">
        <f t="shared" si="15"/>
        <v>11434863.343525201</v>
      </c>
      <c r="P40" s="166">
        <f t="shared" si="15"/>
        <v>10291377.009172682</v>
      </c>
      <c r="Q40" s="166">
        <f t="shared" si="15"/>
        <v>9262239.3082554135</v>
      </c>
    </row>
    <row r="41" spans="1:17">
      <c r="A41" s="164"/>
      <c r="B41" s="164"/>
      <c r="C41" s="166"/>
      <c r="D41" s="166"/>
      <c r="E41" s="166"/>
      <c r="F41" s="166"/>
      <c r="G41" s="166"/>
      <c r="H41" s="166"/>
      <c r="I41" s="166"/>
      <c r="J41" s="98"/>
      <c r="K41" s="166"/>
      <c r="L41" s="166"/>
      <c r="M41" s="166"/>
      <c r="N41" s="166"/>
      <c r="O41" s="166"/>
      <c r="P41" s="166"/>
      <c r="Q41" s="166"/>
    </row>
    <row r="42" spans="1:17">
      <c r="A42" s="165" t="s">
        <v>200</v>
      </c>
      <c r="B42" s="165"/>
      <c r="C42" s="166"/>
      <c r="D42" s="166"/>
      <c r="E42" s="166"/>
      <c r="F42" s="166"/>
      <c r="G42" s="166"/>
      <c r="H42" s="166"/>
      <c r="I42" s="166"/>
      <c r="J42" s="98"/>
      <c r="K42" s="166"/>
      <c r="L42" s="166"/>
      <c r="M42" s="166"/>
      <c r="N42" s="166"/>
      <c r="O42" s="166"/>
      <c r="P42" s="166"/>
      <c r="Q42" s="166"/>
    </row>
    <row r="43" spans="1:17">
      <c r="A43" s="164" t="s">
        <v>196</v>
      </c>
      <c r="B43" s="164"/>
      <c r="C43" s="166">
        <f>'1.Project Cost and MOF'!D7</f>
        <v>21296000</v>
      </c>
      <c r="D43" s="166">
        <f t="shared" ref="D43:I43" si="16">C46</f>
        <v>19947963.199999999</v>
      </c>
      <c r="E43" s="166">
        <f t="shared" si="16"/>
        <v>18599926.399999999</v>
      </c>
      <c r="F43" s="166">
        <f t="shared" si="16"/>
        <v>17251889.599999998</v>
      </c>
      <c r="G43" s="166">
        <f t="shared" si="16"/>
        <v>15903852.799999997</v>
      </c>
      <c r="H43" s="166">
        <f t="shared" si="16"/>
        <v>14555815.999999996</v>
      </c>
      <c r="I43" s="166">
        <f t="shared" si="16"/>
        <v>13207779.199999996</v>
      </c>
      <c r="J43" s="98"/>
      <c r="K43" s="166">
        <f>C43</f>
        <v>21296000</v>
      </c>
      <c r="L43" s="166">
        <f t="shared" ref="L43:Q43" si="17">K46</f>
        <v>18101600</v>
      </c>
      <c r="M43" s="166">
        <f t="shared" si="17"/>
        <v>15386360</v>
      </c>
      <c r="N43" s="166">
        <f t="shared" si="17"/>
        <v>13078406</v>
      </c>
      <c r="O43" s="166">
        <f t="shared" si="17"/>
        <v>11116645.1</v>
      </c>
      <c r="P43" s="166">
        <f t="shared" si="17"/>
        <v>9449148.334999999</v>
      </c>
      <c r="Q43" s="166">
        <f t="shared" si="17"/>
        <v>8031776.0847499995</v>
      </c>
    </row>
    <row r="44" spans="1:17">
      <c r="A44" s="164" t="s">
        <v>17</v>
      </c>
      <c r="B44" s="164"/>
      <c r="C44" s="166">
        <f t="shared" ref="C44:I44" si="18">$C$43*$B$78</f>
        <v>1348036.7999999998</v>
      </c>
      <c r="D44" s="166">
        <f t="shared" si="18"/>
        <v>1348036.7999999998</v>
      </c>
      <c r="E44" s="166">
        <f t="shared" si="18"/>
        <v>1348036.7999999998</v>
      </c>
      <c r="F44" s="166">
        <f t="shared" si="18"/>
        <v>1348036.7999999998</v>
      </c>
      <c r="G44" s="166">
        <f t="shared" si="18"/>
        <v>1348036.7999999998</v>
      </c>
      <c r="H44" s="166">
        <f t="shared" si="18"/>
        <v>1348036.7999999998</v>
      </c>
      <c r="I44" s="166">
        <f t="shared" si="18"/>
        <v>1348036.7999999998</v>
      </c>
      <c r="J44" s="98"/>
      <c r="K44" s="166">
        <f t="shared" ref="K44:Q44" si="19">K43*$C$78</f>
        <v>3194400</v>
      </c>
      <c r="L44" s="166">
        <f t="shared" si="19"/>
        <v>2715240</v>
      </c>
      <c r="M44" s="166">
        <f t="shared" si="19"/>
        <v>2307954</v>
      </c>
      <c r="N44" s="166">
        <f t="shared" si="19"/>
        <v>1961760.9</v>
      </c>
      <c r="O44" s="166">
        <f t="shared" si="19"/>
        <v>1667496.7649999999</v>
      </c>
      <c r="P44" s="166">
        <f t="shared" si="19"/>
        <v>1417372.2502499998</v>
      </c>
      <c r="Q44" s="166">
        <f t="shared" si="19"/>
        <v>1204766.4127125</v>
      </c>
    </row>
    <row r="45" spans="1:17">
      <c r="A45" s="164" t="s">
        <v>197</v>
      </c>
      <c r="B45" s="164"/>
      <c r="C45" s="166">
        <f>C44</f>
        <v>1348036.7999999998</v>
      </c>
      <c r="D45" s="166">
        <f t="shared" ref="D45:I45" si="20">C45+D44</f>
        <v>2696073.5999999996</v>
      </c>
      <c r="E45" s="166">
        <f t="shared" si="20"/>
        <v>4044110.3999999994</v>
      </c>
      <c r="F45" s="166">
        <f t="shared" si="20"/>
        <v>5392147.1999999993</v>
      </c>
      <c r="G45" s="166">
        <f t="shared" si="20"/>
        <v>6740183.9999999991</v>
      </c>
      <c r="H45" s="166">
        <f t="shared" si="20"/>
        <v>8088220.7999999989</v>
      </c>
      <c r="I45" s="166">
        <f t="shared" si="20"/>
        <v>9436257.5999999978</v>
      </c>
      <c r="J45" s="98"/>
      <c r="K45" s="166">
        <f>K44</f>
        <v>3194400</v>
      </c>
      <c r="L45" s="166">
        <f t="shared" ref="L45:Q45" si="21">K45+L44</f>
        <v>5909640</v>
      </c>
      <c r="M45" s="166">
        <f t="shared" si="21"/>
        <v>8217594</v>
      </c>
      <c r="N45" s="166">
        <f t="shared" si="21"/>
        <v>10179354.9</v>
      </c>
      <c r="O45" s="166">
        <f t="shared" si="21"/>
        <v>11846851.665000001</v>
      </c>
      <c r="P45" s="166">
        <f t="shared" si="21"/>
        <v>13264223.915250001</v>
      </c>
      <c r="Q45" s="166">
        <f t="shared" si="21"/>
        <v>14468990.327962501</v>
      </c>
    </row>
    <row r="46" spans="1:17">
      <c r="A46" s="164" t="s">
        <v>198</v>
      </c>
      <c r="B46" s="164"/>
      <c r="C46" s="166">
        <f t="shared" ref="C46:I46" si="22">C43-C44</f>
        <v>19947963.199999999</v>
      </c>
      <c r="D46" s="166">
        <f t="shared" si="22"/>
        <v>18599926.399999999</v>
      </c>
      <c r="E46" s="166">
        <f t="shared" si="22"/>
        <v>17251889.599999998</v>
      </c>
      <c r="F46" s="166">
        <f t="shared" si="22"/>
        <v>15903852.799999997</v>
      </c>
      <c r="G46" s="166">
        <f t="shared" si="22"/>
        <v>14555815.999999996</v>
      </c>
      <c r="H46" s="166">
        <f t="shared" si="22"/>
        <v>13207779.199999996</v>
      </c>
      <c r="I46" s="166">
        <f t="shared" si="22"/>
        <v>11859742.399999995</v>
      </c>
      <c r="J46" s="98"/>
      <c r="K46" s="166">
        <f t="shared" ref="K46:Q46" si="23">K43-K44</f>
        <v>18101600</v>
      </c>
      <c r="L46" s="166">
        <f t="shared" si="23"/>
        <v>15386360</v>
      </c>
      <c r="M46" s="166">
        <f t="shared" si="23"/>
        <v>13078406</v>
      </c>
      <c r="N46" s="166">
        <f t="shared" si="23"/>
        <v>11116645.1</v>
      </c>
      <c r="O46" s="166">
        <f t="shared" si="23"/>
        <v>9449148.334999999</v>
      </c>
      <c r="P46" s="166">
        <f t="shared" si="23"/>
        <v>8031776.0847499995</v>
      </c>
      <c r="Q46" s="166">
        <f t="shared" si="23"/>
        <v>6827009.672037499</v>
      </c>
    </row>
    <row r="47" spans="1:17">
      <c r="A47" s="164"/>
      <c r="B47" s="164"/>
      <c r="C47" s="166"/>
      <c r="D47" s="166"/>
      <c r="E47" s="166"/>
      <c r="F47" s="166"/>
      <c r="G47" s="166"/>
      <c r="H47" s="166"/>
      <c r="I47" s="166"/>
      <c r="J47" s="98"/>
      <c r="K47" s="166"/>
      <c r="L47" s="166"/>
      <c r="M47" s="166"/>
      <c r="N47" s="166"/>
      <c r="O47" s="166"/>
      <c r="P47" s="166"/>
      <c r="Q47" s="166"/>
    </row>
    <row r="48" spans="1:17">
      <c r="A48" s="165" t="s">
        <v>201</v>
      </c>
      <c r="B48" s="165"/>
      <c r="C48" s="166"/>
      <c r="D48" s="166"/>
      <c r="E48" s="166"/>
      <c r="F48" s="166"/>
      <c r="G48" s="166"/>
      <c r="H48" s="166"/>
      <c r="I48" s="166"/>
      <c r="J48" s="98"/>
      <c r="K48" s="166"/>
      <c r="L48" s="166"/>
      <c r="M48" s="166"/>
      <c r="N48" s="166"/>
      <c r="O48" s="166"/>
      <c r="P48" s="166"/>
      <c r="Q48" s="166"/>
    </row>
    <row r="49" spans="1:17">
      <c r="A49" s="164" t="s">
        <v>196</v>
      </c>
      <c r="B49" s="164"/>
      <c r="C49" s="166">
        <f>'1.Project Cost and MOF'!D8</f>
        <v>0</v>
      </c>
      <c r="D49" s="166">
        <f t="shared" ref="D49:I49" si="24">C52</f>
        <v>0</v>
      </c>
      <c r="E49" s="166">
        <f t="shared" si="24"/>
        <v>0</v>
      </c>
      <c r="F49" s="166">
        <f t="shared" si="24"/>
        <v>0</v>
      </c>
      <c r="G49" s="166">
        <f t="shared" si="24"/>
        <v>0</v>
      </c>
      <c r="H49" s="166">
        <f t="shared" si="24"/>
        <v>0</v>
      </c>
      <c r="I49" s="166">
        <f t="shared" si="24"/>
        <v>0</v>
      </c>
      <c r="J49" s="98"/>
      <c r="K49" s="166">
        <f>C49</f>
        <v>0</v>
      </c>
      <c r="L49" s="166">
        <f t="shared" ref="L49:Q49" si="25">K52</f>
        <v>0</v>
      </c>
      <c r="M49" s="166">
        <f t="shared" si="25"/>
        <v>0</v>
      </c>
      <c r="N49" s="166">
        <f t="shared" si="25"/>
        <v>0</v>
      </c>
      <c r="O49" s="166">
        <f t="shared" si="25"/>
        <v>0</v>
      </c>
      <c r="P49" s="166">
        <f t="shared" si="25"/>
        <v>0</v>
      </c>
      <c r="Q49" s="166">
        <f t="shared" si="25"/>
        <v>0</v>
      </c>
    </row>
    <row r="50" spans="1:17">
      <c r="A50" s="164" t="s">
        <v>17</v>
      </c>
      <c r="B50" s="164"/>
      <c r="C50" s="166">
        <f t="shared" ref="C50:I50" si="26">$C$49*$B$75</f>
        <v>0</v>
      </c>
      <c r="D50" s="166">
        <f t="shared" si="26"/>
        <v>0</v>
      </c>
      <c r="E50" s="166">
        <f t="shared" si="26"/>
        <v>0</v>
      </c>
      <c r="F50" s="166">
        <f t="shared" si="26"/>
        <v>0</v>
      </c>
      <c r="G50" s="166">
        <f t="shared" si="26"/>
        <v>0</v>
      </c>
      <c r="H50" s="166">
        <f t="shared" si="26"/>
        <v>0</v>
      </c>
      <c r="I50" s="166">
        <f t="shared" si="26"/>
        <v>0</v>
      </c>
      <c r="J50" s="98"/>
      <c r="K50" s="166">
        <f t="shared" ref="K50:Q50" si="27">K49*$C$75</f>
        <v>0</v>
      </c>
      <c r="L50" s="166">
        <f t="shared" si="27"/>
        <v>0</v>
      </c>
      <c r="M50" s="166">
        <f t="shared" si="27"/>
        <v>0</v>
      </c>
      <c r="N50" s="166">
        <f t="shared" si="27"/>
        <v>0</v>
      </c>
      <c r="O50" s="166">
        <f t="shared" si="27"/>
        <v>0</v>
      </c>
      <c r="P50" s="166">
        <f t="shared" si="27"/>
        <v>0</v>
      </c>
      <c r="Q50" s="166">
        <f t="shared" si="27"/>
        <v>0</v>
      </c>
    </row>
    <row r="51" spans="1:17">
      <c r="A51" s="164" t="s">
        <v>197</v>
      </c>
      <c r="B51" s="164"/>
      <c r="C51" s="166">
        <f>C50</f>
        <v>0</v>
      </c>
      <c r="D51" s="166">
        <f t="shared" ref="D51:I51" si="28">C51+D50</f>
        <v>0</v>
      </c>
      <c r="E51" s="166">
        <f t="shared" si="28"/>
        <v>0</v>
      </c>
      <c r="F51" s="166">
        <f t="shared" si="28"/>
        <v>0</v>
      </c>
      <c r="G51" s="166">
        <f t="shared" si="28"/>
        <v>0</v>
      </c>
      <c r="H51" s="166">
        <f t="shared" si="28"/>
        <v>0</v>
      </c>
      <c r="I51" s="166">
        <f t="shared" si="28"/>
        <v>0</v>
      </c>
      <c r="J51" s="98"/>
      <c r="K51" s="166">
        <f>K50</f>
        <v>0</v>
      </c>
      <c r="L51" s="166">
        <f t="shared" ref="L51:Q51" si="29">K51+L50</f>
        <v>0</v>
      </c>
      <c r="M51" s="166">
        <f t="shared" si="29"/>
        <v>0</v>
      </c>
      <c r="N51" s="166">
        <f t="shared" si="29"/>
        <v>0</v>
      </c>
      <c r="O51" s="166">
        <f t="shared" si="29"/>
        <v>0</v>
      </c>
      <c r="P51" s="166">
        <f t="shared" si="29"/>
        <v>0</v>
      </c>
      <c r="Q51" s="166">
        <f t="shared" si="29"/>
        <v>0</v>
      </c>
    </row>
    <row r="52" spans="1:17">
      <c r="A52" s="164" t="s">
        <v>198</v>
      </c>
      <c r="B52" s="164"/>
      <c r="C52" s="166">
        <f t="shared" ref="C52:I52" si="30">C49-C50</f>
        <v>0</v>
      </c>
      <c r="D52" s="166">
        <f t="shared" si="30"/>
        <v>0</v>
      </c>
      <c r="E52" s="166">
        <f t="shared" si="30"/>
        <v>0</v>
      </c>
      <c r="F52" s="166">
        <f t="shared" si="30"/>
        <v>0</v>
      </c>
      <c r="G52" s="166">
        <f t="shared" si="30"/>
        <v>0</v>
      </c>
      <c r="H52" s="166">
        <f t="shared" si="30"/>
        <v>0</v>
      </c>
      <c r="I52" s="166">
        <f t="shared" si="30"/>
        <v>0</v>
      </c>
      <c r="J52" s="98"/>
      <c r="K52" s="166">
        <f t="shared" ref="K52:Q52" si="31">K49-K50</f>
        <v>0</v>
      </c>
      <c r="L52" s="166">
        <f t="shared" si="31"/>
        <v>0</v>
      </c>
      <c r="M52" s="166">
        <f t="shared" si="31"/>
        <v>0</v>
      </c>
      <c r="N52" s="166">
        <f t="shared" si="31"/>
        <v>0</v>
      </c>
      <c r="O52" s="166">
        <f t="shared" si="31"/>
        <v>0</v>
      </c>
      <c r="P52" s="166">
        <f t="shared" si="31"/>
        <v>0</v>
      </c>
      <c r="Q52" s="166">
        <f t="shared" si="31"/>
        <v>0</v>
      </c>
    </row>
    <row r="53" spans="1:17">
      <c r="A53" s="164"/>
      <c r="B53" s="164"/>
      <c r="C53" s="166"/>
      <c r="D53" s="166"/>
      <c r="E53" s="166"/>
      <c r="F53" s="166"/>
      <c r="G53" s="166"/>
      <c r="H53" s="166"/>
      <c r="I53" s="166"/>
      <c r="J53" s="98"/>
      <c r="K53" s="166"/>
      <c r="L53" s="166"/>
      <c r="M53" s="166"/>
      <c r="N53" s="166"/>
      <c r="O53" s="166"/>
      <c r="P53" s="166"/>
      <c r="Q53" s="166"/>
    </row>
    <row r="54" spans="1:17">
      <c r="A54" s="165" t="s">
        <v>157</v>
      </c>
      <c r="B54" s="165"/>
      <c r="C54" s="166"/>
      <c r="D54" s="166"/>
      <c r="E54" s="166"/>
      <c r="F54" s="166"/>
      <c r="G54" s="166"/>
      <c r="H54" s="166"/>
      <c r="I54" s="166"/>
      <c r="J54" s="98"/>
      <c r="K54" s="166"/>
      <c r="L54" s="166"/>
      <c r="M54" s="166"/>
      <c r="N54" s="166"/>
      <c r="O54" s="166"/>
      <c r="P54" s="166"/>
      <c r="Q54" s="166"/>
    </row>
    <row r="55" spans="1:17">
      <c r="A55" s="164" t="s">
        <v>196</v>
      </c>
      <c r="B55" s="164"/>
      <c r="C55" s="166">
        <f>'1.Project Cost and MOF'!D10</f>
        <v>0</v>
      </c>
      <c r="D55" s="166">
        <f t="shared" ref="D55:I55" si="32">C58</f>
        <v>0</v>
      </c>
      <c r="E55" s="166">
        <f t="shared" si="32"/>
        <v>0</v>
      </c>
      <c r="F55" s="166">
        <f t="shared" si="32"/>
        <v>0</v>
      </c>
      <c r="G55" s="166">
        <f t="shared" si="32"/>
        <v>0</v>
      </c>
      <c r="H55" s="166">
        <f t="shared" si="32"/>
        <v>0</v>
      </c>
      <c r="I55" s="166">
        <f t="shared" si="32"/>
        <v>0</v>
      </c>
      <c r="J55" s="98"/>
      <c r="K55" s="166">
        <f>C55</f>
        <v>0</v>
      </c>
      <c r="L55" s="166">
        <f t="shared" ref="L55:Q55" si="33">K58</f>
        <v>0</v>
      </c>
      <c r="M55" s="166">
        <f t="shared" si="33"/>
        <v>0</v>
      </c>
      <c r="N55" s="166">
        <f t="shared" si="33"/>
        <v>0</v>
      </c>
      <c r="O55" s="166">
        <f t="shared" si="33"/>
        <v>0</v>
      </c>
      <c r="P55" s="166">
        <f t="shared" si="33"/>
        <v>0</v>
      </c>
      <c r="Q55" s="166">
        <f t="shared" si="33"/>
        <v>0</v>
      </c>
    </row>
    <row r="56" spans="1:17">
      <c r="A56" s="164" t="s">
        <v>17</v>
      </c>
      <c r="B56" s="164"/>
      <c r="C56" s="166">
        <f t="shared" ref="C56:I56" si="34">$C$55*$B$77</f>
        <v>0</v>
      </c>
      <c r="D56" s="166">
        <f t="shared" si="34"/>
        <v>0</v>
      </c>
      <c r="E56" s="166">
        <f t="shared" si="34"/>
        <v>0</v>
      </c>
      <c r="F56" s="166">
        <f t="shared" si="34"/>
        <v>0</v>
      </c>
      <c r="G56" s="166">
        <f t="shared" si="34"/>
        <v>0</v>
      </c>
      <c r="H56" s="166">
        <f t="shared" si="34"/>
        <v>0</v>
      </c>
      <c r="I56" s="166">
        <f t="shared" si="34"/>
        <v>0</v>
      </c>
      <c r="J56" s="98"/>
      <c r="K56" s="166">
        <f t="shared" ref="K56:Q56" si="35">K55*$C$77</f>
        <v>0</v>
      </c>
      <c r="L56" s="166">
        <f t="shared" si="35"/>
        <v>0</v>
      </c>
      <c r="M56" s="166">
        <f t="shared" si="35"/>
        <v>0</v>
      </c>
      <c r="N56" s="166">
        <f t="shared" si="35"/>
        <v>0</v>
      </c>
      <c r="O56" s="166">
        <f t="shared" si="35"/>
        <v>0</v>
      </c>
      <c r="P56" s="166">
        <f t="shared" si="35"/>
        <v>0</v>
      </c>
      <c r="Q56" s="166">
        <f t="shared" si="35"/>
        <v>0</v>
      </c>
    </row>
    <row r="57" spans="1:17">
      <c r="A57" s="164" t="s">
        <v>197</v>
      </c>
      <c r="B57" s="164"/>
      <c r="C57" s="166">
        <f>C56</f>
        <v>0</v>
      </c>
      <c r="D57" s="166">
        <f t="shared" ref="D57:I57" si="36">C57+D56</f>
        <v>0</v>
      </c>
      <c r="E57" s="166">
        <f t="shared" si="36"/>
        <v>0</v>
      </c>
      <c r="F57" s="166">
        <f t="shared" si="36"/>
        <v>0</v>
      </c>
      <c r="G57" s="166">
        <f t="shared" si="36"/>
        <v>0</v>
      </c>
      <c r="H57" s="166">
        <f t="shared" si="36"/>
        <v>0</v>
      </c>
      <c r="I57" s="166">
        <f t="shared" si="36"/>
        <v>0</v>
      </c>
      <c r="J57" s="98"/>
      <c r="K57" s="166">
        <f>K56</f>
        <v>0</v>
      </c>
      <c r="L57" s="166">
        <f t="shared" ref="L57:Q57" si="37">K57+L56</f>
        <v>0</v>
      </c>
      <c r="M57" s="166">
        <f t="shared" si="37"/>
        <v>0</v>
      </c>
      <c r="N57" s="166">
        <f t="shared" si="37"/>
        <v>0</v>
      </c>
      <c r="O57" s="166">
        <f t="shared" si="37"/>
        <v>0</v>
      </c>
      <c r="P57" s="166">
        <f t="shared" si="37"/>
        <v>0</v>
      </c>
      <c r="Q57" s="166">
        <f t="shared" si="37"/>
        <v>0</v>
      </c>
    </row>
    <row r="58" spans="1:17">
      <c r="A58" s="164" t="s">
        <v>198</v>
      </c>
      <c r="B58" s="164"/>
      <c r="C58" s="166">
        <f t="shared" ref="C58:I58" si="38">C55-C56</f>
        <v>0</v>
      </c>
      <c r="D58" s="166">
        <f t="shared" si="38"/>
        <v>0</v>
      </c>
      <c r="E58" s="166">
        <f t="shared" si="38"/>
        <v>0</v>
      </c>
      <c r="F58" s="166">
        <f t="shared" si="38"/>
        <v>0</v>
      </c>
      <c r="G58" s="166">
        <f t="shared" si="38"/>
        <v>0</v>
      </c>
      <c r="H58" s="166">
        <f t="shared" si="38"/>
        <v>0</v>
      </c>
      <c r="I58" s="166">
        <f t="shared" si="38"/>
        <v>0</v>
      </c>
      <c r="J58" s="98"/>
      <c r="K58" s="166">
        <f t="shared" ref="K58:Q58" si="39">K55-K56</f>
        <v>0</v>
      </c>
      <c r="L58" s="166">
        <f t="shared" si="39"/>
        <v>0</v>
      </c>
      <c r="M58" s="166">
        <f t="shared" si="39"/>
        <v>0</v>
      </c>
      <c r="N58" s="166">
        <f t="shared" si="39"/>
        <v>0</v>
      </c>
      <c r="O58" s="166">
        <f t="shared" si="39"/>
        <v>0</v>
      </c>
      <c r="P58" s="166">
        <f t="shared" si="39"/>
        <v>0</v>
      </c>
      <c r="Q58" s="166">
        <f t="shared" si="39"/>
        <v>0</v>
      </c>
    </row>
    <row r="59" spans="1:17">
      <c r="A59" s="164"/>
      <c r="B59" s="164"/>
      <c r="C59" s="166"/>
      <c r="D59" s="166"/>
      <c r="E59" s="166"/>
      <c r="F59" s="166"/>
      <c r="G59" s="166"/>
      <c r="H59" s="166"/>
      <c r="I59" s="166"/>
      <c r="J59" s="98"/>
      <c r="K59" s="166"/>
      <c r="L59" s="166"/>
      <c r="M59" s="166"/>
      <c r="N59" s="166"/>
      <c r="O59" s="166"/>
      <c r="P59" s="166"/>
      <c r="Q59" s="166"/>
    </row>
    <row r="60" spans="1:17">
      <c r="A60" s="322" t="s">
        <v>329</v>
      </c>
      <c r="B60" s="164"/>
      <c r="C60" s="166"/>
      <c r="D60" s="166"/>
      <c r="E60" s="166"/>
      <c r="F60" s="166"/>
      <c r="G60" s="166"/>
      <c r="H60" s="166"/>
      <c r="I60" s="166"/>
      <c r="J60" s="98"/>
      <c r="K60" s="166"/>
      <c r="L60" s="166"/>
      <c r="M60" s="166"/>
      <c r="N60" s="166"/>
      <c r="O60" s="166"/>
      <c r="P60" s="166"/>
      <c r="Q60" s="166"/>
    </row>
    <row r="61" spans="1:17">
      <c r="A61" s="164" t="str">
        <f>A55</f>
        <v>Asset Value</v>
      </c>
      <c r="B61" s="164"/>
      <c r="C61" s="166">
        <f>'1.Project Cost and MOF'!D9</f>
        <v>695211</v>
      </c>
      <c r="D61" s="166">
        <f t="shared" ref="D61:I61" si="40">C64</f>
        <v>625689.9</v>
      </c>
      <c r="E61" s="166">
        <f t="shared" si="40"/>
        <v>556168.80000000005</v>
      </c>
      <c r="F61" s="166">
        <f t="shared" si="40"/>
        <v>486647.70000000007</v>
      </c>
      <c r="G61" s="166">
        <f t="shared" si="40"/>
        <v>417126.60000000009</v>
      </c>
      <c r="H61" s="166">
        <f t="shared" si="40"/>
        <v>347605.50000000012</v>
      </c>
      <c r="I61" s="166">
        <f t="shared" si="40"/>
        <v>278084.40000000014</v>
      </c>
      <c r="J61" s="98"/>
      <c r="K61" s="166">
        <f>C61</f>
        <v>695211</v>
      </c>
      <c r="L61" s="166">
        <f t="shared" ref="L61:Q61" si="41">K64</f>
        <v>417126.6</v>
      </c>
      <c r="M61" s="166">
        <f t="shared" si="41"/>
        <v>250275.95999999996</v>
      </c>
      <c r="N61" s="166">
        <f t="shared" si="41"/>
        <v>150165.57599999997</v>
      </c>
      <c r="O61" s="166">
        <f t="shared" si="41"/>
        <v>90099.345599999971</v>
      </c>
      <c r="P61" s="166">
        <f t="shared" si="41"/>
        <v>54059.60735999998</v>
      </c>
      <c r="Q61" s="166">
        <f t="shared" si="41"/>
        <v>32435.764415999987</v>
      </c>
    </row>
    <row r="62" spans="1:17">
      <c r="A62" s="164" t="str">
        <f>A56</f>
        <v>Depreciation</v>
      </c>
      <c r="B62" s="164"/>
      <c r="C62" s="166">
        <f t="shared" ref="C62:I62" si="42">$C$61*$B$76</f>
        <v>69521.100000000006</v>
      </c>
      <c r="D62" s="166">
        <f t="shared" si="42"/>
        <v>69521.100000000006</v>
      </c>
      <c r="E62" s="166">
        <f t="shared" si="42"/>
        <v>69521.100000000006</v>
      </c>
      <c r="F62" s="166">
        <f t="shared" si="42"/>
        <v>69521.100000000006</v>
      </c>
      <c r="G62" s="166">
        <f t="shared" si="42"/>
        <v>69521.100000000006</v>
      </c>
      <c r="H62" s="166">
        <f t="shared" si="42"/>
        <v>69521.100000000006</v>
      </c>
      <c r="I62" s="166">
        <f t="shared" si="42"/>
        <v>69521.100000000006</v>
      </c>
      <c r="J62" s="98"/>
      <c r="K62" s="166">
        <f t="shared" ref="K62:Q62" si="43">K61*$C$76</f>
        <v>278084.40000000002</v>
      </c>
      <c r="L62" s="166">
        <f t="shared" si="43"/>
        <v>166850.64000000001</v>
      </c>
      <c r="M62" s="166">
        <f t="shared" si="43"/>
        <v>100110.38399999999</v>
      </c>
      <c r="N62" s="166">
        <f t="shared" si="43"/>
        <v>60066.230399999993</v>
      </c>
      <c r="O62" s="166">
        <f t="shared" si="43"/>
        <v>36039.738239999991</v>
      </c>
      <c r="P62" s="166">
        <f t="shared" si="43"/>
        <v>21623.842943999993</v>
      </c>
      <c r="Q62" s="166">
        <f t="shared" si="43"/>
        <v>12974.305766399995</v>
      </c>
    </row>
    <row r="63" spans="1:17">
      <c r="A63" s="164" t="str">
        <f>A57</f>
        <v>Accumulated Depreciation</v>
      </c>
      <c r="B63" s="164"/>
      <c r="C63" s="166">
        <f>C62</f>
        <v>69521.100000000006</v>
      </c>
      <c r="D63" s="166">
        <f t="shared" ref="D63:I63" si="44">D62+C63</f>
        <v>139042.20000000001</v>
      </c>
      <c r="E63" s="166">
        <f t="shared" si="44"/>
        <v>208563.30000000002</v>
      </c>
      <c r="F63" s="166">
        <f t="shared" si="44"/>
        <v>278084.40000000002</v>
      </c>
      <c r="G63" s="166">
        <f t="shared" si="44"/>
        <v>347605.5</v>
      </c>
      <c r="H63" s="166">
        <f t="shared" si="44"/>
        <v>417126.6</v>
      </c>
      <c r="I63" s="166">
        <f t="shared" si="44"/>
        <v>486647.69999999995</v>
      </c>
      <c r="J63" s="98"/>
      <c r="K63" s="166">
        <f>K62</f>
        <v>278084.40000000002</v>
      </c>
      <c r="L63" s="166">
        <f t="shared" ref="L63:Q63" si="45">L62+K63</f>
        <v>444935.04000000004</v>
      </c>
      <c r="M63" s="166">
        <f t="shared" si="45"/>
        <v>545045.424</v>
      </c>
      <c r="N63" s="166">
        <f t="shared" si="45"/>
        <v>605111.6544</v>
      </c>
      <c r="O63" s="166">
        <f t="shared" si="45"/>
        <v>641151.39263999998</v>
      </c>
      <c r="P63" s="166">
        <f t="shared" si="45"/>
        <v>662775.23558400001</v>
      </c>
      <c r="Q63" s="166">
        <f t="shared" si="45"/>
        <v>675749.54135039996</v>
      </c>
    </row>
    <row r="64" spans="1:17">
      <c r="A64" s="164" t="str">
        <f>A58</f>
        <v>Net Fixed Assets</v>
      </c>
      <c r="B64" s="164"/>
      <c r="C64" s="166">
        <f t="shared" ref="C64:I64" si="46">C61-C62</f>
        <v>625689.9</v>
      </c>
      <c r="D64" s="166">
        <f t="shared" si="46"/>
        <v>556168.80000000005</v>
      </c>
      <c r="E64" s="166">
        <f t="shared" si="46"/>
        <v>486647.70000000007</v>
      </c>
      <c r="F64" s="166">
        <f t="shared" si="46"/>
        <v>417126.60000000009</v>
      </c>
      <c r="G64" s="166">
        <f t="shared" si="46"/>
        <v>347605.50000000012</v>
      </c>
      <c r="H64" s="166">
        <f t="shared" si="46"/>
        <v>278084.40000000014</v>
      </c>
      <c r="I64" s="166">
        <f t="shared" si="46"/>
        <v>208563.30000000013</v>
      </c>
      <c r="J64" s="98"/>
      <c r="K64" s="166">
        <f t="shared" ref="K64:Q64" si="47">K61-K62</f>
        <v>417126.6</v>
      </c>
      <c r="L64" s="166">
        <f t="shared" si="47"/>
        <v>250275.95999999996</v>
      </c>
      <c r="M64" s="166">
        <f t="shared" si="47"/>
        <v>150165.57599999997</v>
      </c>
      <c r="N64" s="166">
        <f t="shared" si="47"/>
        <v>90099.345599999971</v>
      </c>
      <c r="O64" s="166">
        <f t="shared" si="47"/>
        <v>54059.60735999998</v>
      </c>
      <c r="P64" s="166">
        <f t="shared" si="47"/>
        <v>32435.764415999987</v>
      </c>
      <c r="Q64" s="166">
        <f t="shared" si="47"/>
        <v>19461.45864959999</v>
      </c>
    </row>
    <row r="65" spans="1:17">
      <c r="A65" s="165" t="s">
        <v>202</v>
      </c>
      <c r="B65" s="165"/>
      <c r="C65" s="167">
        <f t="shared" ref="C65:I68" si="48">C49+C43+C37+C55+C61</f>
        <v>41356252.480000004</v>
      </c>
      <c r="D65" s="167">
        <f t="shared" si="48"/>
        <v>39324822.765083998</v>
      </c>
      <c r="E65" s="167">
        <f t="shared" si="48"/>
        <v>37293393.050167993</v>
      </c>
      <c r="F65" s="167">
        <f t="shared" si="48"/>
        <v>35261963.335252002</v>
      </c>
      <c r="G65" s="167">
        <f t="shared" si="48"/>
        <v>33230533.620336</v>
      </c>
      <c r="H65" s="167">
        <f t="shared" si="48"/>
        <v>31199103.905419998</v>
      </c>
      <c r="I65" s="167">
        <f t="shared" si="48"/>
        <v>29167674.190503996</v>
      </c>
      <c r="J65" s="98"/>
      <c r="K65" s="167">
        <f t="shared" ref="K65:Q68" si="49">K49+K43+K37+K55+K61</f>
        <v>41356252.480000004</v>
      </c>
      <c r="L65" s="167">
        <f t="shared" si="49"/>
        <v>35947263.932000004</v>
      </c>
      <c r="M65" s="167">
        <f t="shared" si="49"/>
        <v>31322319.558800004</v>
      </c>
      <c r="N65" s="167">
        <f t="shared" si="49"/>
        <v>27345686.814920004</v>
      </c>
      <c r="O65" s="167">
        <f t="shared" si="49"/>
        <v>23912148.160628002</v>
      </c>
      <c r="P65" s="167">
        <f t="shared" si="49"/>
        <v>20938071.285885204</v>
      </c>
      <c r="Q65" s="167">
        <f t="shared" si="49"/>
        <v>18355588.858338684</v>
      </c>
    </row>
    <row r="66" spans="1:17">
      <c r="A66" s="165" t="s">
        <v>203</v>
      </c>
      <c r="B66" s="165"/>
      <c r="C66" s="167">
        <f t="shared" si="48"/>
        <v>2031429.7149159999</v>
      </c>
      <c r="D66" s="167">
        <f t="shared" si="48"/>
        <v>2031429.7149159999</v>
      </c>
      <c r="E66" s="167">
        <f t="shared" si="48"/>
        <v>2031429.7149159999</v>
      </c>
      <c r="F66" s="167">
        <f t="shared" si="48"/>
        <v>2031429.7149159999</v>
      </c>
      <c r="G66" s="167">
        <f t="shared" si="48"/>
        <v>2031429.7149159999</v>
      </c>
      <c r="H66" s="167">
        <f t="shared" si="48"/>
        <v>2031429.7149159999</v>
      </c>
      <c r="I66" s="167">
        <f t="shared" si="48"/>
        <v>2031429.7149159999</v>
      </c>
      <c r="J66" s="98"/>
      <c r="K66" s="167">
        <f t="shared" si="49"/>
        <v>5408988.5480000004</v>
      </c>
      <c r="L66" s="167">
        <f t="shared" si="49"/>
        <v>4624944.3732000003</v>
      </c>
      <c r="M66" s="167">
        <f t="shared" si="49"/>
        <v>3976632.7438800004</v>
      </c>
      <c r="N66" s="167">
        <f t="shared" si="49"/>
        <v>3433538.654292</v>
      </c>
      <c r="O66" s="167">
        <f t="shared" si="49"/>
        <v>2974076.8747427999</v>
      </c>
      <c r="P66" s="167">
        <f t="shared" si="49"/>
        <v>2582482.4275465198</v>
      </c>
      <c r="Q66" s="167">
        <f t="shared" si="49"/>
        <v>2246878.4193961681</v>
      </c>
    </row>
    <row r="67" spans="1:17">
      <c r="A67" s="165" t="s">
        <v>204</v>
      </c>
      <c r="B67" s="165"/>
      <c r="C67" s="167">
        <f t="shared" si="48"/>
        <v>2031429.7149159999</v>
      </c>
      <c r="D67" s="167">
        <f t="shared" si="48"/>
        <v>4062859.4298319998</v>
      </c>
      <c r="E67" s="167">
        <f t="shared" si="48"/>
        <v>6094289.1447479995</v>
      </c>
      <c r="F67" s="167">
        <f t="shared" si="48"/>
        <v>8125718.8596639996</v>
      </c>
      <c r="G67" s="167">
        <f t="shared" si="48"/>
        <v>10157148.574579999</v>
      </c>
      <c r="H67" s="167">
        <f t="shared" si="48"/>
        <v>12188578.289495999</v>
      </c>
      <c r="I67" s="167">
        <f t="shared" si="48"/>
        <v>14220008.004411995</v>
      </c>
      <c r="J67" s="98"/>
      <c r="K67" s="167">
        <f t="shared" si="49"/>
        <v>5408988.5480000004</v>
      </c>
      <c r="L67" s="167">
        <f t="shared" si="49"/>
        <v>10033932.9212</v>
      </c>
      <c r="M67" s="167">
        <f t="shared" si="49"/>
        <v>14010565.665080002</v>
      </c>
      <c r="N67" s="167">
        <f t="shared" si="49"/>
        <v>17444104.319371998</v>
      </c>
      <c r="O67" s="167">
        <f t="shared" si="49"/>
        <v>20418181.194114801</v>
      </c>
      <c r="P67" s="167">
        <f t="shared" si="49"/>
        <v>23000663.62166132</v>
      </c>
      <c r="Q67" s="167">
        <f t="shared" si="49"/>
        <v>25247542.041057486</v>
      </c>
    </row>
    <row r="68" spans="1:17">
      <c r="A68" s="165" t="s">
        <v>198</v>
      </c>
      <c r="B68" s="165"/>
      <c r="C68" s="167">
        <f t="shared" si="48"/>
        <v>39324822.765083998</v>
      </c>
      <c r="D68" s="167">
        <f t="shared" si="48"/>
        <v>37293393.050167993</v>
      </c>
      <c r="E68" s="167">
        <f t="shared" si="48"/>
        <v>35261963.335252002</v>
      </c>
      <c r="F68" s="167">
        <f t="shared" si="48"/>
        <v>33230533.620336</v>
      </c>
      <c r="G68" s="167">
        <f t="shared" si="48"/>
        <v>31199103.905419998</v>
      </c>
      <c r="H68" s="167">
        <f t="shared" si="48"/>
        <v>29167674.190503996</v>
      </c>
      <c r="I68" s="167">
        <f t="shared" si="48"/>
        <v>27136244.475587998</v>
      </c>
      <c r="J68" s="98"/>
      <c r="K68" s="167">
        <f t="shared" si="49"/>
        <v>35947263.932000004</v>
      </c>
      <c r="L68" s="167">
        <f t="shared" si="49"/>
        <v>31322319.558800004</v>
      </c>
      <c r="M68" s="167">
        <f t="shared" si="49"/>
        <v>27345686.814920004</v>
      </c>
      <c r="N68" s="167">
        <f t="shared" si="49"/>
        <v>23912148.160628002</v>
      </c>
      <c r="O68" s="167">
        <f t="shared" si="49"/>
        <v>20938071.285885204</v>
      </c>
      <c r="P68" s="167">
        <f t="shared" si="49"/>
        <v>18355588.858338684</v>
      </c>
      <c r="Q68" s="167">
        <f t="shared" si="49"/>
        <v>16108710.438942512</v>
      </c>
    </row>
    <row r="69" spans="1:17">
      <c r="A69" s="170"/>
      <c r="B69" s="170"/>
      <c r="C69" s="171"/>
      <c r="D69" s="171"/>
      <c r="E69" s="171"/>
      <c r="F69" s="171"/>
      <c r="G69" s="171"/>
      <c r="H69" s="171"/>
      <c r="I69" s="171"/>
      <c r="J69" s="93"/>
    </row>
    <row r="70" spans="1:17">
      <c r="A70" s="93"/>
      <c r="B70" s="93"/>
      <c r="C70" s="93"/>
      <c r="D70" s="93"/>
      <c r="E70" s="93"/>
      <c r="F70" s="93"/>
      <c r="G70" s="93"/>
      <c r="H70" s="93"/>
      <c r="I70" s="93"/>
      <c r="J70" s="93"/>
    </row>
    <row r="71" spans="1:17" ht="29.25">
      <c r="A71" s="172" t="s">
        <v>205</v>
      </c>
      <c r="B71" s="173" t="s">
        <v>206</v>
      </c>
      <c r="C71" s="174" t="s">
        <v>207</v>
      </c>
      <c r="D71" s="93"/>
      <c r="E71" s="93"/>
      <c r="F71" s="93"/>
      <c r="G71" s="93"/>
      <c r="H71" s="93"/>
      <c r="I71" s="93"/>
      <c r="J71" s="93"/>
    </row>
    <row r="72" spans="1:17" ht="29.25">
      <c r="A72" s="175" t="s">
        <v>208</v>
      </c>
      <c r="B72" s="173" t="s">
        <v>209</v>
      </c>
      <c r="C72" s="174" t="s">
        <v>210</v>
      </c>
      <c r="D72" s="93"/>
      <c r="E72" s="93"/>
      <c r="F72" s="93"/>
      <c r="G72" s="93"/>
      <c r="H72" s="93"/>
      <c r="I72" s="93"/>
      <c r="J72" s="93"/>
    </row>
    <row r="73" spans="1:17">
      <c r="A73" s="175" t="s">
        <v>147</v>
      </c>
      <c r="B73" s="176">
        <v>0</v>
      </c>
      <c r="C73" s="176">
        <v>0</v>
      </c>
      <c r="D73" s="93"/>
      <c r="E73" s="93"/>
      <c r="F73" s="93"/>
      <c r="G73" s="93"/>
      <c r="H73" s="93"/>
      <c r="I73" s="93"/>
      <c r="J73" s="93"/>
    </row>
    <row r="74" spans="1:17">
      <c r="A74" s="177" t="s">
        <v>199</v>
      </c>
      <c r="B74" s="176">
        <v>3.1699999999999999E-2</v>
      </c>
      <c r="C74" s="176">
        <v>0.1</v>
      </c>
      <c r="D74" s="178"/>
      <c r="E74" s="93"/>
      <c r="F74" s="93"/>
      <c r="G74" s="93"/>
      <c r="H74" s="93"/>
      <c r="I74" s="93"/>
      <c r="J74" s="93"/>
    </row>
    <row r="75" spans="1:17">
      <c r="A75" s="177" t="s">
        <v>201</v>
      </c>
      <c r="B75" s="179">
        <v>0.1</v>
      </c>
      <c r="C75" s="176">
        <v>0.1</v>
      </c>
      <c r="D75" s="93"/>
      <c r="E75" s="93"/>
      <c r="F75" s="93"/>
      <c r="G75" s="93"/>
      <c r="H75" s="93"/>
      <c r="I75" s="93"/>
      <c r="J75" s="93"/>
    </row>
    <row r="76" spans="1:17">
      <c r="A76" s="93" t="s">
        <v>211</v>
      </c>
      <c r="B76" s="179">
        <v>0.1</v>
      </c>
      <c r="C76" s="179">
        <v>0.4</v>
      </c>
      <c r="D76" s="93"/>
      <c r="E76" s="93"/>
      <c r="F76" s="93"/>
      <c r="G76" s="93"/>
      <c r="H76" s="93"/>
      <c r="I76" s="93"/>
      <c r="J76" s="93"/>
    </row>
    <row r="77" spans="1:17">
      <c r="A77" s="93" t="s">
        <v>276</v>
      </c>
      <c r="B77" s="179">
        <v>0.1188</v>
      </c>
      <c r="C77" s="179">
        <v>0.15</v>
      </c>
      <c r="D77" s="93"/>
      <c r="E77" s="93"/>
      <c r="F77" s="93"/>
      <c r="G77" s="93"/>
      <c r="H77" s="93"/>
      <c r="I77" s="93"/>
      <c r="J77" s="93"/>
    </row>
    <row r="78" spans="1:17">
      <c r="A78" s="177" t="s">
        <v>212</v>
      </c>
      <c r="B78" s="179">
        <v>6.3299999999999995E-2</v>
      </c>
      <c r="C78" s="179">
        <v>0.15</v>
      </c>
      <c r="D78" s="93"/>
      <c r="E78" s="93"/>
      <c r="F78" s="93"/>
      <c r="G78" s="93"/>
      <c r="H78" s="93"/>
      <c r="I78" s="93"/>
      <c r="J78" s="93"/>
    </row>
    <row r="79" spans="1:17" ht="29.25">
      <c r="A79" s="175" t="s">
        <v>205</v>
      </c>
      <c r="B79" s="176"/>
      <c r="C79" s="180"/>
      <c r="D79" s="93"/>
      <c r="E79" s="93"/>
      <c r="F79" s="93"/>
      <c r="G79" s="93"/>
      <c r="H79" s="93"/>
      <c r="I79" s="93"/>
      <c r="J79" s="93"/>
    </row>
    <row r="80" spans="1:17">
      <c r="A80" s="177" t="s">
        <v>213</v>
      </c>
      <c r="B80" s="180">
        <v>0.2</v>
      </c>
      <c r="C80" s="181">
        <v>0.2</v>
      </c>
      <c r="D80" s="93"/>
      <c r="E80" s="93"/>
      <c r="F80" s="93"/>
      <c r="G80" s="93"/>
      <c r="H80" s="93"/>
      <c r="I80" s="93"/>
      <c r="J80" s="93"/>
    </row>
    <row r="81" spans="1:12">
      <c r="A81" s="93"/>
      <c r="B81" s="93"/>
      <c r="C81" s="93"/>
      <c r="D81" s="93"/>
      <c r="E81" s="93"/>
      <c r="F81" s="93"/>
      <c r="G81" s="93"/>
      <c r="H81" s="93"/>
      <c r="I81" s="93"/>
      <c r="J81" s="93"/>
    </row>
    <row r="82" spans="1:12">
      <c r="A82" s="93"/>
      <c r="B82" s="93"/>
      <c r="C82" s="93"/>
      <c r="D82" s="93"/>
      <c r="E82" s="182"/>
      <c r="F82" s="93"/>
      <c r="G82" s="93"/>
      <c r="H82" s="93"/>
      <c r="I82" s="93"/>
      <c r="J82" s="93"/>
    </row>
    <row r="83" spans="1:12" s="65" customFormat="1" ht="18.75">
      <c r="A83" s="414" t="s">
        <v>704</v>
      </c>
      <c r="B83" s="414"/>
      <c r="C83" s="414"/>
      <c r="D83" s="414"/>
      <c r="E83" s="414"/>
      <c r="F83" s="414"/>
      <c r="G83" s="414"/>
      <c r="H83" s="414"/>
      <c r="I83" s="414"/>
      <c r="J83" s="414"/>
    </row>
    <row r="84" spans="1:12" s="65" customFormat="1">
      <c r="A84" s="35"/>
      <c r="B84" s="35"/>
    </row>
    <row r="85" spans="1:12" s="65" customFormat="1">
      <c r="A85" s="152" t="s">
        <v>0</v>
      </c>
      <c r="B85" s="153" t="s">
        <v>339</v>
      </c>
      <c r="C85" s="154" t="s">
        <v>2</v>
      </c>
      <c r="D85" s="154" t="s">
        <v>3</v>
      </c>
      <c r="E85" s="154" t="s">
        <v>4</v>
      </c>
      <c r="F85" s="154" t="s">
        <v>5</v>
      </c>
      <c r="G85" s="154" t="s">
        <v>6</v>
      </c>
      <c r="H85" s="154" t="s">
        <v>167</v>
      </c>
      <c r="I85" s="154" t="s">
        <v>166</v>
      </c>
      <c r="J85" s="38"/>
      <c r="K85" s="38"/>
      <c r="L85" s="38"/>
    </row>
    <row r="86" spans="1:12" s="65" customFormat="1">
      <c r="A86" s="155" t="s">
        <v>254</v>
      </c>
      <c r="B86" s="156">
        <v>5</v>
      </c>
      <c r="C86" s="157">
        <f>'1.Project Cost and MOF'!$D$11/5</f>
        <v>12588</v>
      </c>
      <c r="D86" s="157">
        <f>'1.Project Cost and MOF'!$D$11/5</f>
        <v>12588</v>
      </c>
      <c r="E86" s="157">
        <f>'1.Project Cost and MOF'!$D$11/5</f>
        <v>12588</v>
      </c>
      <c r="F86" s="157">
        <f>'1.Project Cost and MOF'!$D$11/5</f>
        <v>12588</v>
      </c>
      <c r="G86" s="157">
        <f>'1.Project Cost and MOF'!$D$11/5</f>
        <v>12588</v>
      </c>
      <c r="H86" s="157">
        <v>0</v>
      </c>
      <c r="I86" s="157">
        <v>0</v>
      </c>
      <c r="J86" s="38"/>
      <c r="K86" s="38"/>
      <c r="L86" s="38"/>
    </row>
    <row r="87" spans="1:12" s="65" customFormat="1">
      <c r="A87" s="158" t="s">
        <v>340</v>
      </c>
      <c r="B87" s="159"/>
      <c r="C87" s="160">
        <f t="shared" ref="C87:I87" si="50">SUM(C85:C86)</f>
        <v>12588</v>
      </c>
      <c r="D87" s="160">
        <f t="shared" si="50"/>
        <v>12588</v>
      </c>
      <c r="E87" s="160">
        <f t="shared" si="50"/>
        <v>12588</v>
      </c>
      <c r="F87" s="160">
        <f t="shared" si="50"/>
        <v>12588</v>
      </c>
      <c r="G87" s="160">
        <f t="shared" si="50"/>
        <v>12588</v>
      </c>
      <c r="H87" s="160">
        <f t="shared" si="50"/>
        <v>0</v>
      </c>
      <c r="I87" s="160">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30" t="s">
        <v>551</v>
      </c>
      <c r="B92" s="430"/>
      <c r="C92" s="430"/>
      <c r="D92" s="430"/>
      <c r="E92" s="430"/>
      <c r="F92" s="430"/>
      <c r="G92" s="430"/>
      <c r="H92" s="430"/>
      <c r="I92" s="149"/>
      <c r="J92" s="149"/>
      <c r="K92" s="149"/>
    </row>
    <row r="93" spans="1:12">
      <c r="A93" s="35"/>
      <c r="B93" s="34"/>
      <c r="C93" s="34"/>
      <c r="D93" s="34"/>
      <c r="E93" s="34"/>
      <c r="F93" s="34"/>
      <c r="G93" s="34"/>
      <c r="H93" s="34"/>
      <c r="I93" s="34"/>
      <c r="J93" s="34"/>
      <c r="K93" s="34"/>
    </row>
    <row r="94" spans="1:12">
      <c r="A94" s="147" t="s">
        <v>0</v>
      </c>
      <c r="B94" s="119" t="s">
        <v>2</v>
      </c>
      <c r="C94" s="119" t="s">
        <v>3</v>
      </c>
      <c r="D94" s="119" t="s">
        <v>4</v>
      </c>
      <c r="E94" s="119" t="s">
        <v>5</v>
      </c>
      <c r="F94" s="119" t="s">
        <v>6</v>
      </c>
      <c r="G94" s="119" t="s">
        <v>167</v>
      </c>
      <c r="H94" s="119" t="s">
        <v>166</v>
      </c>
      <c r="I94" s="28"/>
      <c r="J94" s="28"/>
      <c r="K94" s="28"/>
    </row>
    <row r="95" spans="1:12">
      <c r="A95" s="87" t="s">
        <v>226</v>
      </c>
      <c r="B95" s="150">
        <f>'6.Cons Profit &amp; Loss'!B47</f>
        <v>426409.81369646825</v>
      </c>
      <c r="C95" s="150">
        <f>'6.Cons Profit &amp; Loss'!C47</f>
        <v>4564196.162935283</v>
      </c>
      <c r="D95" s="150">
        <f>'6.Cons Profit &amp; Loss'!D47</f>
        <v>7826581.5018529948</v>
      </c>
      <c r="E95" s="150">
        <f>'6.Cons Profit &amp; Loss'!E47</f>
        <v>11436398.329817813</v>
      </c>
      <c r="F95" s="150">
        <f>'6.Cons Profit &amp; Loss'!F47</f>
        <v>15428440.495387129</v>
      </c>
      <c r="G95" s="150">
        <f>'6.Cons Profit &amp; Loss'!G47</f>
        <v>19546338.899732746</v>
      </c>
      <c r="H95" s="150">
        <f>'6.Cons Profit &amp; Loss'!H47</f>
        <v>24084692.510500669</v>
      </c>
      <c r="I95" s="37"/>
      <c r="J95" s="37"/>
      <c r="K95" s="37"/>
    </row>
    <row r="96" spans="1:12">
      <c r="A96" s="87" t="s">
        <v>227</v>
      </c>
      <c r="B96" s="150">
        <f>'6.Cons Profit &amp; Loss'!B40</f>
        <v>2031429.7149159999</v>
      </c>
      <c r="C96" s="150">
        <f>'6.Cons Profit &amp; Loss'!C40</f>
        <v>2031429.7149159999</v>
      </c>
      <c r="D96" s="150">
        <f>'6.Cons Profit &amp; Loss'!D40</f>
        <v>2031429.7149159999</v>
      </c>
      <c r="E96" s="150">
        <f>'6.Cons Profit &amp; Loss'!E40</f>
        <v>2031429.7149159999</v>
      </c>
      <c r="F96" s="150">
        <f>'6.Cons Profit &amp; Loss'!F40</f>
        <v>2031429.7149159999</v>
      </c>
      <c r="G96" s="150">
        <f>'6.Cons Profit &amp; Loss'!G40</f>
        <v>2031429.7149159999</v>
      </c>
      <c r="H96" s="150">
        <f>'6.Cons Profit &amp; Loss'!H40</f>
        <v>2031429.7149159999</v>
      </c>
      <c r="I96" s="37"/>
      <c r="J96" s="37"/>
      <c r="K96" s="37"/>
    </row>
    <row r="97" spans="1:11">
      <c r="A97" s="87" t="s">
        <v>228</v>
      </c>
      <c r="B97" s="150">
        <f>'3.Other Exp &amp; Taxes'!K66</f>
        <v>5408988.5480000004</v>
      </c>
      <c r="C97" s="150">
        <f>'3.Other Exp &amp; Taxes'!L66</f>
        <v>4624944.3732000003</v>
      </c>
      <c r="D97" s="150">
        <f>'3.Other Exp &amp; Taxes'!M66</f>
        <v>3976632.7438800004</v>
      </c>
      <c r="E97" s="150">
        <f>'3.Other Exp &amp; Taxes'!N66</f>
        <v>3433538.654292</v>
      </c>
      <c r="F97" s="150">
        <f>'3.Other Exp &amp; Taxes'!O66</f>
        <v>2974076.8747427999</v>
      </c>
      <c r="G97" s="150">
        <f>'3.Other Exp &amp; Taxes'!P66</f>
        <v>2582482.4275465198</v>
      </c>
      <c r="H97" s="150">
        <f>'3.Other Exp &amp; Taxes'!Q66</f>
        <v>2246878.4193961681</v>
      </c>
      <c r="I97" s="37"/>
      <c r="J97" s="37"/>
      <c r="K97" s="37"/>
    </row>
    <row r="98" spans="1:11">
      <c r="A98" s="87" t="s">
        <v>289</v>
      </c>
      <c r="B98" s="150">
        <f t="shared" ref="B98:H98" si="51">B95+B96-B97</f>
        <v>-2951149.019387532</v>
      </c>
      <c r="C98" s="150">
        <f t="shared" si="51"/>
        <v>1970681.5046512829</v>
      </c>
      <c r="D98" s="150">
        <f t="shared" si="51"/>
        <v>5881378.472888995</v>
      </c>
      <c r="E98" s="150">
        <f t="shared" si="51"/>
        <v>10034289.390441813</v>
      </c>
      <c r="F98" s="150">
        <f t="shared" si="51"/>
        <v>14485793.335560327</v>
      </c>
      <c r="G98" s="150">
        <f t="shared" si="51"/>
        <v>18995286.187102225</v>
      </c>
      <c r="H98" s="150">
        <f t="shared" si="51"/>
        <v>23869243.806020498</v>
      </c>
      <c r="I98" s="37"/>
      <c r="J98" s="37"/>
      <c r="K98" s="37"/>
    </row>
    <row r="99" spans="1:11">
      <c r="A99" s="89" t="s">
        <v>229</v>
      </c>
      <c r="B99" s="151">
        <f t="shared" ref="B99:H99" si="52">B98*$B$102</f>
        <v>-737787.25484688301</v>
      </c>
      <c r="C99" s="151">
        <f t="shared" si="52"/>
        <v>492670.37616282073</v>
      </c>
      <c r="D99" s="151">
        <f t="shared" si="52"/>
        <v>1470344.6182222487</v>
      </c>
      <c r="E99" s="151">
        <f t="shared" si="52"/>
        <v>2508572.3476104531</v>
      </c>
      <c r="F99" s="151">
        <f t="shared" si="52"/>
        <v>3621448.3338900818</v>
      </c>
      <c r="G99" s="151">
        <f t="shared" si="52"/>
        <v>4748821.5467755562</v>
      </c>
      <c r="H99" s="151">
        <f t="shared" si="52"/>
        <v>5967310.9515051246</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393</v>
      </c>
      <c r="B102" s="270">
        <v>0.25</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31" t="s">
        <v>424</v>
      </c>
      <c r="B104" s="431"/>
      <c r="C104" s="431"/>
      <c r="D104" s="431"/>
      <c r="E104" s="431"/>
      <c r="F104" s="431"/>
      <c r="G104" s="431"/>
      <c r="H104" s="431"/>
      <c r="I104" s="32"/>
      <c r="J104" s="32"/>
      <c r="K104" s="32"/>
    </row>
  </sheetData>
  <mergeCells count="8">
    <mergeCell ref="A83:J83"/>
    <mergeCell ref="A92:H92"/>
    <mergeCell ref="A104:H104"/>
    <mergeCell ref="A2:K2"/>
    <mergeCell ref="A28:O28"/>
    <mergeCell ref="C31:I31"/>
    <mergeCell ref="K31:Q31"/>
    <mergeCell ref="A29:Q29"/>
  </mergeCells>
  <pageMargins left="0.70866141732283472" right="0.70866141732283472" top="0.74803149606299213" bottom="0.74803149606299213" header="0.31496062992125984" footer="0.3149606299212598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zoomScale="80" zoomScaleSheetLayoutView="80" workbookViewId="0">
      <selection activeCell="D7" sqref="D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17" t="s">
        <v>705</v>
      </c>
      <c r="B2" s="417"/>
      <c r="C2" s="417"/>
      <c r="D2" s="417"/>
      <c r="E2" s="417"/>
      <c r="F2" s="417"/>
      <c r="G2" s="435"/>
    </row>
    <row r="3" spans="1:7">
      <c r="B3" s="15"/>
      <c r="C3" s="15"/>
      <c r="D3" s="15"/>
      <c r="E3" s="15"/>
      <c r="F3" s="15"/>
      <c r="G3" s="15"/>
    </row>
    <row r="4" spans="1:7">
      <c r="A4" s="93"/>
      <c r="B4" s="93"/>
      <c r="C4" s="93" t="s">
        <v>470</v>
      </c>
      <c r="D4" s="111">
        <f>'1.Project Cost and MOF'!E21</f>
        <v>14474688.368000001</v>
      </c>
      <c r="E4" s="93"/>
      <c r="F4" s="93"/>
      <c r="G4" s="93"/>
    </row>
    <row r="5" spans="1:7">
      <c r="A5" s="93"/>
      <c r="B5" s="93"/>
      <c r="C5" s="93" t="s">
        <v>471</v>
      </c>
      <c r="D5" s="264">
        <v>0.14000000000000001</v>
      </c>
      <c r="E5" s="93"/>
      <c r="F5" s="93"/>
      <c r="G5" s="93"/>
    </row>
    <row r="6" spans="1:7">
      <c r="A6" s="93"/>
      <c r="B6" s="93"/>
      <c r="C6" s="93" t="s">
        <v>472</v>
      </c>
      <c r="D6" s="265">
        <v>3</v>
      </c>
      <c r="E6" s="93"/>
      <c r="F6" s="93"/>
      <c r="G6" s="93"/>
    </row>
    <row r="7" spans="1:7">
      <c r="A7" s="93"/>
      <c r="B7" s="93"/>
      <c r="C7" s="93" t="s">
        <v>473</v>
      </c>
      <c r="D7" s="265">
        <v>6</v>
      </c>
      <c r="E7" s="93"/>
      <c r="F7" s="93"/>
      <c r="G7" s="93"/>
    </row>
    <row r="8" spans="1:7">
      <c r="A8" s="93"/>
      <c r="B8" s="93"/>
      <c r="C8" s="93" t="s">
        <v>22</v>
      </c>
      <c r="D8" s="210">
        <f>PMT(D5/12,(D6-(D7/12))*12,-D4)</f>
        <v>574621.42685985519</v>
      </c>
      <c r="E8" s="210"/>
      <c r="F8" s="253"/>
      <c r="G8" s="93"/>
    </row>
    <row r="9" spans="1:7">
      <c r="A9" s="147" t="s">
        <v>290</v>
      </c>
      <c r="B9" s="211" t="s">
        <v>18</v>
      </c>
      <c r="C9" s="212" t="s">
        <v>19</v>
      </c>
      <c r="D9" s="212" t="s">
        <v>20</v>
      </c>
      <c r="E9" s="212" t="s">
        <v>21</v>
      </c>
      <c r="F9" s="212" t="s">
        <v>22</v>
      </c>
      <c r="G9" s="212" t="s">
        <v>23</v>
      </c>
    </row>
    <row r="10" spans="1:7">
      <c r="A10" s="94" t="s">
        <v>11</v>
      </c>
      <c r="B10" s="94" t="s">
        <v>52</v>
      </c>
      <c r="C10" s="95">
        <f>D4</f>
        <v>14474688.368000001</v>
      </c>
      <c r="D10" s="95">
        <f t="shared" ref="D10:D41" si="0">C10*$D$5/12</f>
        <v>168871.36429333335</v>
      </c>
      <c r="E10" s="95">
        <f t="shared" ref="E10:E15" si="1">F10-D10</f>
        <v>0</v>
      </c>
      <c r="F10" s="95">
        <f>D10</f>
        <v>168871.36429333335</v>
      </c>
      <c r="G10" s="95">
        <f>C10-E10</f>
        <v>14474688.368000001</v>
      </c>
    </row>
    <row r="11" spans="1:7">
      <c r="A11" s="94"/>
      <c r="B11" s="94" t="s">
        <v>53</v>
      </c>
      <c r="C11" s="95">
        <f>G10</f>
        <v>14474688.368000001</v>
      </c>
      <c r="D11" s="95">
        <f t="shared" si="0"/>
        <v>168871.36429333335</v>
      </c>
      <c r="E11" s="95">
        <f t="shared" si="1"/>
        <v>0</v>
      </c>
      <c r="F11" s="95">
        <f t="shared" ref="F11:F15" si="2">D11</f>
        <v>168871.36429333335</v>
      </c>
      <c r="G11" s="95">
        <f t="shared" ref="G11:G74" si="3">C11-E11</f>
        <v>14474688.368000001</v>
      </c>
    </row>
    <row r="12" spans="1:7">
      <c r="A12" s="94"/>
      <c r="B12" s="94" t="s">
        <v>54</v>
      </c>
      <c r="C12" s="95">
        <f t="shared" ref="C12:C75" si="4">G11</f>
        <v>14474688.368000001</v>
      </c>
      <c r="D12" s="95">
        <f t="shared" si="0"/>
        <v>168871.36429333335</v>
      </c>
      <c r="E12" s="95">
        <f t="shared" si="1"/>
        <v>0</v>
      </c>
      <c r="F12" s="95">
        <f t="shared" si="2"/>
        <v>168871.36429333335</v>
      </c>
      <c r="G12" s="95">
        <f t="shared" si="3"/>
        <v>14474688.368000001</v>
      </c>
    </row>
    <row r="13" spans="1:7">
      <c r="A13" s="94"/>
      <c r="B13" s="94" t="s">
        <v>55</v>
      </c>
      <c r="C13" s="95">
        <f t="shared" si="4"/>
        <v>14474688.368000001</v>
      </c>
      <c r="D13" s="95">
        <f t="shared" si="0"/>
        <v>168871.36429333335</v>
      </c>
      <c r="E13" s="95">
        <f t="shared" si="1"/>
        <v>0</v>
      </c>
      <c r="F13" s="95">
        <f t="shared" si="2"/>
        <v>168871.36429333335</v>
      </c>
      <c r="G13" s="95">
        <f t="shared" si="3"/>
        <v>14474688.368000001</v>
      </c>
    </row>
    <row r="14" spans="1:7">
      <c r="A14" s="94"/>
      <c r="B14" s="94" t="s">
        <v>56</v>
      </c>
      <c r="C14" s="95">
        <f t="shared" si="4"/>
        <v>14474688.368000001</v>
      </c>
      <c r="D14" s="95">
        <f t="shared" si="0"/>
        <v>168871.36429333335</v>
      </c>
      <c r="E14" s="95">
        <f t="shared" si="1"/>
        <v>0</v>
      </c>
      <c r="F14" s="95">
        <f t="shared" si="2"/>
        <v>168871.36429333335</v>
      </c>
      <c r="G14" s="95">
        <f t="shared" si="3"/>
        <v>14474688.368000001</v>
      </c>
    </row>
    <row r="15" spans="1:7">
      <c r="A15" s="94"/>
      <c r="B15" s="94" t="s">
        <v>57</v>
      </c>
      <c r="C15" s="95">
        <f t="shared" si="4"/>
        <v>14474688.368000001</v>
      </c>
      <c r="D15" s="95">
        <f t="shared" si="0"/>
        <v>168871.36429333335</v>
      </c>
      <c r="E15" s="95">
        <f t="shared" si="1"/>
        <v>0</v>
      </c>
      <c r="F15" s="95">
        <f t="shared" si="2"/>
        <v>168871.36429333335</v>
      </c>
      <c r="G15" s="95">
        <f t="shared" si="3"/>
        <v>14474688.368000001</v>
      </c>
    </row>
    <row r="16" spans="1:7">
      <c r="A16" s="94"/>
      <c r="B16" s="94" t="s">
        <v>58</v>
      </c>
      <c r="C16" s="95">
        <f t="shared" si="4"/>
        <v>14474688.368000001</v>
      </c>
      <c r="D16" s="95">
        <f t="shared" si="0"/>
        <v>168871.36429333335</v>
      </c>
      <c r="E16" s="95">
        <f>F16-D16</f>
        <v>405750.06256652181</v>
      </c>
      <c r="F16" s="95">
        <f t="shared" ref="F16:F74" si="5">$D$8</f>
        <v>574621.42685985519</v>
      </c>
      <c r="G16" s="95">
        <f t="shared" si="3"/>
        <v>14068938.305433478</v>
      </c>
    </row>
    <row r="17" spans="1:9">
      <c r="A17" s="94"/>
      <c r="B17" s="94" t="s">
        <v>59</v>
      </c>
      <c r="C17" s="95">
        <f t="shared" si="4"/>
        <v>14068938.305433478</v>
      </c>
      <c r="D17" s="95">
        <f t="shared" si="0"/>
        <v>164137.61356339059</v>
      </c>
      <c r="E17" s="95">
        <f t="shared" ref="E17:E80" si="6">F17-D17</f>
        <v>410483.81329646462</v>
      </c>
      <c r="F17" s="95">
        <f t="shared" si="5"/>
        <v>574621.42685985519</v>
      </c>
      <c r="G17" s="95">
        <f t="shared" si="3"/>
        <v>13658454.492137013</v>
      </c>
    </row>
    <row r="18" spans="1:9">
      <c r="A18" s="94"/>
      <c r="B18" s="94" t="s">
        <v>60</v>
      </c>
      <c r="C18" s="95">
        <f t="shared" si="4"/>
        <v>13658454.492137013</v>
      </c>
      <c r="D18" s="95">
        <f t="shared" si="0"/>
        <v>159348.6357415985</v>
      </c>
      <c r="E18" s="95">
        <f t="shared" si="6"/>
        <v>415272.79111825669</v>
      </c>
      <c r="F18" s="95">
        <f t="shared" si="5"/>
        <v>574621.42685985519</v>
      </c>
      <c r="G18" s="95">
        <f t="shared" si="3"/>
        <v>13243181.701018756</v>
      </c>
    </row>
    <row r="19" spans="1:9">
      <c r="A19" s="94"/>
      <c r="B19" s="94" t="s">
        <v>61</v>
      </c>
      <c r="C19" s="95">
        <f t="shared" si="4"/>
        <v>13243181.701018756</v>
      </c>
      <c r="D19" s="95">
        <f t="shared" si="0"/>
        <v>154503.7865118855</v>
      </c>
      <c r="E19" s="95">
        <f t="shared" si="6"/>
        <v>420117.64034796972</v>
      </c>
      <c r="F19" s="95">
        <f t="shared" si="5"/>
        <v>574621.42685985519</v>
      </c>
      <c r="G19" s="95">
        <f t="shared" si="3"/>
        <v>12823064.060670786</v>
      </c>
    </row>
    <row r="20" spans="1:9">
      <c r="A20" s="94"/>
      <c r="B20" s="94" t="s">
        <v>62</v>
      </c>
      <c r="C20" s="95">
        <f t="shared" si="4"/>
        <v>12823064.060670786</v>
      </c>
      <c r="D20" s="95">
        <f t="shared" si="0"/>
        <v>149602.41404115918</v>
      </c>
      <c r="E20" s="95">
        <f t="shared" si="6"/>
        <v>425019.01281869598</v>
      </c>
      <c r="F20" s="95">
        <f t="shared" si="5"/>
        <v>574621.42685985519</v>
      </c>
      <c r="G20" s="95">
        <f t="shared" si="3"/>
        <v>12398045.04785209</v>
      </c>
    </row>
    <row r="21" spans="1:9">
      <c r="A21" s="94"/>
      <c r="B21" s="94" t="s">
        <v>63</v>
      </c>
      <c r="C21" s="95">
        <f t="shared" si="4"/>
        <v>12398045.04785209</v>
      </c>
      <c r="D21" s="95">
        <f t="shared" si="0"/>
        <v>144643.85889160773</v>
      </c>
      <c r="E21" s="95">
        <f t="shared" si="6"/>
        <v>429977.56796824746</v>
      </c>
      <c r="F21" s="95">
        <f t="shared" si="5"/>
        <v>574621.42685985519</v>
      </c>
      <c r="G21" s="95">
        <f t="shared" si="3"/>
        <v>11968067.479883842</v>
      </c>
      <c r="H21" s="1"/>
      <c r="I21" s="1"/>
    </row>
    <row r="22" spans="1:9">
      <c r="A22" s="94" t="s">
        <v>12</v>
      </c>
      <c r="B22" s="94" t="s">
        <v>64</v>
      </c>
      <c r="C22" s="95">
        <f t="shared" si="4"/>
        <v>11968067.479883842</v>
      </c>
      <c r="D22" s="95">
        <f t="shared" si="0"/>
        <v>139627.45393197818</v>
      </c>
      <c r="E22" s="95">
        <f t="shared" si="6"/>
        <v>434993.97292787698</v>
      </c>
      <c r="F22" s="95">
        <f t="shared" si="5"/>
        <v>574621.42685985519</v>
      </c>
      <c r="G22" s="95">
        <f t="shared" si="3"/>
        <v>11533073.506955964</v>
      </c>
    </row>
    <row r="23" spans="1:9">
      <c r="A23" s="94"/>
      <c r="B23" s="94" t="s">
        <v>65</v>
      </c>
      <c r="C23" s="95">
        <f t="shared" si="4"/>
        <v>11533073.506955964</v>
      </c>
      <c r="D23" s="95">
        <f t="shared" si="0"/>
        <v>134552.52424781959</v>
      </c>
      <c r="E23" s="95">
        <f t="shared" si="6"/>
        <v>440068.90261203563</v>
      </c>
      <c r="F23" s="95">
        <f t="shared" si="5"/>
        <v>574621.42685985519</v>
      </c>
      <c r="G23" s="95">
        <f t="shared" si="3"/>
        <v>11093004.604343928</v>
      </c>
    </row>
    <row r="24" spans="1:9">
      <c r="A24" s="94"/>
      <c r="B24" s="94" t="s">
        <v>66</v>
      </c>
      <c r="C24" s="95">
        <f t="shared" si="4"/>
        <v>11093004.604343928</v>
      </c>
      <c r="D24" s="95">
        <f t="shared" si="0"/>
        <v>129418.38705067919</v>
      </c>
      <c r="E24" s="95">
        <f t="shared" si="6"/>
        <v>445203.039809176</v>
      </c>
      <c r="F24" s="95">
        <f t="shared" si="5"/>
        <v>574621.42685985519</v>
      </c>
      <c r="G24" s="95">
        <f t="shared" si="3"/>
        <v>10647801.564534752</v>
      </c>
    </row>
    <row r="25" spans="1:9">
      <c r="A25" s="94"/>
      <c r="B25" s="94" t="s">
        <v>67</v>
      </c>
      <c r="C25" s="95">
        <f t="shared" si="4"/>
        <v>10647801.564534752</v>
      </c>
      <c r="D25" s="95">
        <f t="shared" si="0"/>
        <v>124224.35158623877</v>
      </c>
      <c r="E25" s="95">
        <f t="shared" si="6"/>
        <v>450397.07527361641</v>
      </c>
      <c r="F25" s="95">
        <f t="shared" si="5"/>
        <v>574621.42685985519</v>
      </c>
      <c r="G25" s="95">
        <f t="shared" si="3"/>
        <v>10197404.489261135</v>
      </c>
    </row>
    <row r="26" spans="1:9">
      <c r="A26" s="94"/>
      <c r="B26" s="94" t="s">
        <v>68</v>
      </c>
      <c r="C26" s="95">
        <f t="shared" si="4"/>
        <v>10197404.489261135</v>
      </c>
      <c r="D26" s="95">
        <f t="shared" si="0"/>
        <v>118969.71904137993</v>
      </c>
      <c r="E26" s="95">
        <f t="shared" si="6"/>
        <v>455651.70781847526</v>
      </c>
      <c r="F26" s="95">
        <f t="shared" si="5"/>
        <v>574621.42685985519</v>
      </c>
      <c r="G26" s="95">
        <f t="shared" si="3"/>
        <v>9741752.7814426608</v>
      </c>
    </row>
    <row r="27" spans="1:9">
      <c r="A27" s="94"/>
      <c r="B27" s="94" t="s">
        <v>69</v>
      </c>
      <c r="C27" s="95">
        <f t="shared" si="4"/>
        <v>9741752.7814426608</v>
      </c>
      <c r="D27" s="95">
        <f t="shared" si="0"/>
        <v>113653.78245016439</v>
      </c>
      <c r="E27" s="95">
        <f t="shared" si="6"/>
        <v>460967.64440969081</v>
      </c>
      <c r="F27" s="95">
        <f t="shared" si="5"/>
        <v>574621.42685985519</v>
      </c>
      <c r="G27" s="95">
        <f t="shared" si="3"/>
        <v>9280785.1370329708</v>
      </c>
    </row>
    <row r="28" spans="1:9">
      <c r="A28" s="94"/>
      <c r="B28" s="94" t="s">
        <v>70</v>
      </c>
      <c r="C28" s="95">
        <f t="shared" si="4"/>
        <v>9280785.1370329708</v>
      </c>
      <c r="D28" s="95">
        <f t="shared" si="0"/>
        <v>108275.82659871801</v>
      </c>
      <c r="E28" s="95">
        <f t="shared" si="6"/>
        <v>466345.60026113718</v>
      </c>
      <c r="F28" s="95">
        <f t="shared" si="5"/>
        <v>574621.42685985519</v>
      </c>
      <c r="G28" s="95">
        <f t="shared" si="3"/>
        <v>8814439.5367718339</v>
      </c>
    </row>
    <row r="29" spans="1:9">
      <c r="A29" s="94"/>
      <c r="B29" s="94" t="s">
        <v>71</v>
      </c>
      <c r="C29" s="95">
        <f t="shared" si="4"/>
        <v>8814439.5367718339</v>
      </c>
      <c r="D29" s="95">
        <f t="shared" si="0"/>
        <v>102835.12792900474</v>
      </c>
      <c r="E29" s="95">
        <f t="shared" si="6"/>
        <v>471786.29893085046</v>
      </c>
      <c r="F29" s="95">
        <f t="shared" si="5"/>
        <v>574621.42685985519</v>
      </c>
      <c r="G29" s="95">
        <f t="shared" si="3"/>
        <v>8342653.2378409831</v>
      </c>
    </row>
    <row r="30" spans="1:9">
      <c r="A30" s="94"/>
      <c r="B30" s="94" t="s">
        <v>72</v>
      </c>
      <c r="C30" s="95">
        <f t="shared" si="4"/>
        <v>8342653.2378409831</v>
      </c>
      <c r="D30" s="95">
        <f t="shared" si="0"/>
        <v>97330.954441478141</v>
      </c>
      <c r="E30" s="95">
        <f t="shared" si="6"/>
        <v>477290.47241837706</v>
      </c>
      <c r="F30" s="95">
        <f t="shared" si="5"/>
        <v>574621.42685985519</v>
      </c>
      <c r="G30" s="95">
        <f t="shared" si="3"/>
        <v>7865362.7654226059</v>
      </c>
    </row>
    <row r="31" spans="1:9">
      <c r="A31" s="94"/>
      <c r="B31" s="94" t="s">
        <v>73</v>
      </c>
      <c r="C31" s="95">
        <f t="shared" si="4"/>
        <v>7865362.7654226059</v>
      </c>
      <c r="D31" s="95">
        <f t="shared" si="0"/>
        <v>91762.56559659708</v>
      </c>
      <c r="E31" s="95">
        <f t="shared" si="6"/>
        <v>482858.86126325809</v>
      </c>
      <c r="F31" s="95">
        <f t="shared" si="5"/>
        <v>574621.42685985519</v>
      </c>
      <c r="G31" s="95">
        <f t="shared" si="3"/>
        <v>7382503.9041593475</v>
      </c>
    </row>
    <row r="32" spans="1:9">
      <c r="A32" s="94"/>
      <c r="B32" s="94" t="s">
        <v>74</v>
      </c>
      <c r="C32" s="95">
        <f t="shared" si="4"/>
        <v>7382503.9041593475</v>
      </c>
      <c r="D32" s="95">
        <f t="shared" si="0"/>
        <v>86129.212215192398</v>
      </c>
      <c r="E32" s="95">
        <f t="shared" si="6"/>
        <v>488492.2146446628</v>
      </c>
      <c r="F32" s="95">
        <f t="shared" si="5"/>
        <v>574621.42685985519</v>
      </c>
      <c r="G32" s="95">
        <f t="shared" si="3"/>
        <v>6894011.6895146845</v>
      </c>
    </row>
    <row r="33" spans="1:9">
      <c r="A33" s="94"/>
      <c r="B33" s="94" t="s">
        <v>75</v>
      </c>
      <c r="C33" s="95">
        <f t="shared" si="4"/>
        <v>6894011.6895146845</v>
      </c>
      <c r="D33" s="95">
        <f t="shared" si="0"/>
        <v>80430.136377671326</v>
      </c>
      <c r="E33" s="95">
        <f t="shared" si="6"/>
        <v>494191.29048218386</v>
      </c>
      <c r="F33" s="95">
        <f t="shared" si="5"/>
        <v>574621.42685985519</v>
      </c>
      <c r="G33" s="95">
        <f t="shared" si="3"/>
        <v>6399820.3990325006</v>
      </c>
      <c r="H33" s="1"/>
      <c r="I33" s="1"/>
    </row>
    <row r="34" spans="1:9">
      <c r="A34" s="94" t="s">
        <v>13</v>
      </c>
      <c r="B34" s="94" t="s">
        <v>76</v>
      </c>
      <c r="C34" s="95">
        <f t="shared" si="4"/>
        <v>6399820.3990325006</v>
      </c>
      <c r="D34" s="95">
        <f t="shared" si="0"/>
        <v>74664.571322045857</v>
      </c>
      <c r="E34" s="95">
        <f t="shared" si="6"/>
        <v>499956.85553780932</v>
      </c>
      <c r="F34" s="95">
        <f t="shared" si="5"/>
        <v>574621.42685985519</v>
      </c>
      <c r="G34" s="95">
        <f t="shared" si="3"/>
        <v>5899863.5434946911</v>
      </c>
    </row>
    <row r="35" spans="1:9">
      <c r="A35" s="94"/>
      <c r="B35" s="94" t="s">
        <v>77</v>
      </c>
      <c r="C35" s="95">
        <f t="shared" si="4"/>
        <v>5899863.5434946911</v>
      </c>
      <c r="D35" s="95">
        <f t="shared" si="0"/>
        <v>68831.741340771405</v>
      </c>
      <c r="E35" s="95">
        <f t="shared" si="6"/>
        <v>505789.68551908375</v>
      </c>
      <c r="F35" s="95">
        <f t="shared" si="5"/>
        <v>574621.42685985519</v>
      </c>
      <c r="G35" s="95">
        <f t="shared" si="3"/>
        <v>5394073.8579756077</v>
      </c>
    </row>
    <row r="36" spans="1:9">
      <c r="A36" s="94"/>
      <c r="B36" s="94" t="s">
        <v>78</v>
      </c>
      <c r="C36" s="95">
        <f t="shared" si="4"/>
        <v>5394073.8579756077</v>
      </c>
      <c r="D36" s="95">
        <f t="shared" si="0"/>
        <v>62930.861676382097</v>
      </c>
      <c r="E36" s="95">
        <f t="shared" si="6"/>
        <v>511690.56518347311</v>
      </c>
      <c r="F36" s="95">
        <f t="shared" si="5"/>
        <v>574621.42685985519</v>
      </c>
      <c r="G36" s="95">
        <f t="shared" si="3"/>
        <v>4882383.2927921349</v>
      </c>
    </row>
    <row r="37" spans="1:9">
      <c r="A37" s="94"/>
      <c r="B37" s="94" t="s">
        <v>79</v>
      </c>
      <c r="C37" s="95">
        <f t="shared" si="4"/>
        <v>4882383.2927921349</v>
      </c>
      <c r="D37" s="95">
        <f t="shared" si="0"/>
        <v>56961.138415908244</v>
      </c>
      <c r="E37" s="95">
        <f t="shared" si="6"/>
        <v>517660.28844394692</v>
      </c>
      <c r="F37" s="95">
        <f t="shared" si="5"/>
        <v>574621.42685985519</v>
      </c>
      <c r="G37" s="95">
        <f t="shared" si="3"/>
        <v>4364723.0043481877</v>
      </c>
    </row>
    <row r="38" spans="1:9">
      <c r="A38" s="94"/>
      <c r="B38" s="94" t="s">
        <v>80</v>
      </c>
      <c r="C38" s="95">
        <f t="shared" si="4"/>
        <v>4364723.0043481877</v>
      </c>
      <c r="D38" s="95">
        <f t="shared" si="0"/>
        <v>50921.76838406219</v>
      </c>
      <c r="E38" s="95">
        <f t="shared" si="6"/>
        <v>523699.65847579297</v>
      </c>
      <c r="F38" s="95">
        <f t="shared" si="5"/>
        <v>574621.42685985519</v>
      </c>
      <c r="G38" s="95">
        <f t="shared" si="3"/>
        <v>3841023.3458723947</v>
      </c>
    </row>
    <row r="39" spans="1:9">
      <c r="A39" s="94"/>
      <c r="B39" s="94" t="s">
        <v>81</v>
      </c>
      <c r="C39" s="95">
        <f t="shared" si="4"/>
        <v>3841023.3458723947</v>
      </c>
      <c r="D39" s="95">
        <f t="shared" si="0"/>
        <v>44811.939035177937</v>
      </c>
      <c r="E39" s="95">
        <f t="shared" si="6"/>
        <v>529809.48782467726</v>
      </c>
      <c r="F39" s="95">
        <f t="shared" si="5"/>
        <v>574621.42685985519</v>
      </c>
      <c r="G39" s="95">
        <f t="shared" si="3"/>
        <v>3311213.8580477173</v>
      </c>
    </row>
    <row r="40" spans="1:9">
      <c r="A40" s="94"/>
      <c r="B40" s="94" t="s">
        <v>82</v>
      </c>
      <c r="C40" s="95">
        <f t="shared" si="4"/>
        <v>3311213.8580477173</v>
      </c>
      <c r="D40" s="95">
        <f t="shared" si="0"/>
        <v>38630.82834389004</v>
      </c>
      <c r="E40" s="95">
        <f t="shared" si="6"/>
        <v>535990.59851596516</v>
      </c>
      <c r="F40" s="95">
        <f t="shared" si="5"/>
        <v>574621.42685985519</v>
      </c>
      <c r="G40" s="95">
        <f t="shared" si="3"/>
        <v>2775223.2595317522</v>
      </c>
    </row>
    <row r="41" spans="1:9">
      <c r="A41" s="94"/>
      <c r="B41" s="94" t="s">
        <v>83</v>
      </c>
      <c r="C41" s="95">
        <f t="shared" si="4"/>
        <v>2775223.2595317522</v>
      </c>
      <c r="D41" s="95">
        <f t="shared" si="0"/>
        <v>32377.604694537109</v>
      </c>
      <c r="E41" s="95">
        <f t="shared" si="6"/>
        <v>542243.82216531807</v>
      </c>
      <c r="F41" s="95">
        <f t="shared" si="5"/>
        <v>574621.42685985519</v>
      </c>
      <c r="G41" s="95">
        <f t="shared" si="3"/>
        <v>2232979.4373664344</v>
      </c>
    </row>
    <row r="42" spans="1:9">
      <c r="A42" s="94"/>
      <c r="B42" s="94" t="s">
        <v>84</v>
      </c>
      <c r="C42" s="95">
        <f t="shared" si="4"/>
        <v>2232979.4373664344</v>
      </c>
      <c r="D42" s="95">
        <f t="shared" ref="D42:D73" si="7">C42*$D$5/12</f>
        <v>26051.426769275069</v>
      </c>
      <c r="E42" s="95">
        <f t="shared" si="6"/>
        <v>548570.00009058008</v>
      </c>
      <c r="F42" s="95">
        <f t="shared" si="5"/>
        <v>574621.42685985519</v>
      </c>
      <c r="G42" s="95">
        <f t="shared" si="3"/>
        <v>1684409.4372758544</v>
      </c>
    </row>
    <row r="43" spans="1:9">
      <c r="A43" s="94"/>
      <c r="B43" s="94" t="s">
        <v>85</v>
      </c>
      <c r="C43" s="95">
        <f t="shared" si="4"/>
        <v>1684409.4372758544</v>
      </c>
      <c r="D43" s="95">
        <f t="shared" si="7"/>
        <v>19651.443434884972</v>
      </c>
      <c r="E43" s="95">
        <f t="shared" si="6"/>
        <v>554969.98342497018</v>
      </c>
      <c r="F43" s="95">
        <f t="shared" si="5"/>
        <v>574621.42685985519</v>
      </c>
      <c r="G43" s="95">
        <f t="shared" si="3"/>
        <v>1129439.4538508842</v>
      </c>
    </row>
    <row r="44" spans="1:9">
      <c r="A44" s="94"/>
      <c r="B44" s="94" t="s">
        <v>86</v>
      </c>
      <c r="C44" s="95">
        <f t="shared" si="4"/>
        <v>1129439.4538508842</v>
      </c>
      <c r="D44" s="95">
        <f t="shared" si="7"/>
        <v>13176.793628260317</v>
      </c>
      <c r="E44" s="95">
        <f t="shared" si="6"/>
        <v>561444.63323159493</v>
      </c>
      <c r="F44" s="95">
        <f t="shared" si="5"/>
        <v>574621.42685985519</v>
      </c>
      <c r="G44" s="95">
        <f t="shared" si="3"/>
        <v>567994.8206192893</v>
      </c>
    </row>
    <row r="45" spans="1:9">
      <c r="A45" s="94"/>
      <c r="B45" s="94" t="s">
        <v>87</v>
      </c>
      <c r="C45" s="95">
        <f t="shared" si="4"/>
        <v>567994.8206192893</v>
      </c>
      <c r="D45" s="95">
        <f t="shared" si="7"/>
        <v>6626.6062405583762</v>
      </c>
      <c r="E45" s="95">
        <f t="shared" si="6"/>
        <v>567994.82061929686</v>
      </c>
      <c r="F45" s="95">
        <f t="shared" si="5"/>
        <v>574621.42685985519</v>
      </c>
      <c r="G45" s="95">
        <f t="shared" si="3"/>
        <v>-7.5669959187507629E-9</v>
      </c>
      <c r="H45" s="1"/>
      <c r="I45" s="1"/>
    </row>
    <row r="46" spans="1:9">
      <c r="A46" s="94" t="s">
        <v>14</v>
      </c>
      <c r="B46" s="94" t="s">
        <v>88</v>
      </c>
      <c r="C46" s="95">
        <f t="shared" si="4"/>
        <v>-7.5669959187507629E-9</v>
      </c>
      <c r="D46" s="95">
        <f t="shared" si="7"/>
        <v>-8.8281619052092244E-11</v>
      </c>
      <c r="E46" s="95">
        <f t="shared" si="6"/>
        <v>574621.4268598553</v>
      </c>
      <c r="F46" s="95">
        <f t="shared" si="5"/>
        <v>574621.42685985519</v>
      </c>
      <c r="G46" s="95">
        <f t="shared" si="3"/>
        <v>-574621.42685986287</v>
      </c>
    </row>
    <row r="47" spans="1:9">
      <c r="A47" s="94"/>
      <c r="B47" s="94" t="s">
        <v>89</v>
      </c>
      <c r="C47" s="95">
        <f t="shared" si="4"/>
        <v>-574621.42685986287</v>
      </c>
      <c r="D47" s="95">
        <f t="shared" si="7"/>
        <v>-6703.9166466984016</v>
      </c>
      <c r="E47" s="95">
        <f t="shared" si="6"/>
        <v>581325.34350655356</v>
      </c>
      <c r="F47" s="95">
        <f t="shared" si="5"/>
        <v>574621.42685985519</v>
      </c>
      <c r="G47" s="95">
        <f t="shared" si="3"/>
        <v>-1155946.7703664163</v>
      </c>
    </row>
    <row r="48" spans="1:9">
      <c r="A48" s="94"/>
      <c r="B48" s="94" t="s">
        <v>90</v>
      </c>
      <c r="C48" s="95">
        <f t="shared" si="4"/>
        <v>-1155946.7703664163</v>
      </c>
      <c r="D48" s="95">
        <f t="shared" si="7"/>
        <v>-13486.045654274858</v>
      </c>
      <c r="E48" s="95">
        <f t="shared" si="6"/>
        <v>588107.47251413006</v>
      </c>
      <c r="F48" s="95">
        <f t="shared" si="5"/>
        <v>574621.42685985519</v>
      </c>
      <c r="G48" s="95">
        <f t="shared" si="3"/>
        <v>-1744054.2428805465</v>
      </c>
    </row>
    <row r="49" spans="1:9">
      <c r="A49" s="94"/>
      <c r="B49" s="94" t="s">
        <v>91</v>
      </c>
      <c r="C49" s="95">
        <f t="shared" si="4"/>
        <v>-1744054.2428805465</v>
      </c>
      <c r="D49" s="95">
        <f t="shared" si="7"/>
        <v>-20347.299500273042</v>
      </c>
      <c r="E49" s="95">
        <f t="shared" si="6"/>
        <v>594968.72636012826</v>
      </c>
      <c r="F49" s="95">
        <f t="shared" si="5"/>
        <v>574621.42685985519</v>
      </c>
      <c r="G49" s="95">
        <f t="shared" si="3"/>
        <v>-2339022.9692406747</v>
      </c>
    </row>
    <row r="50" spans="1:9">
      <c r="A50" s="94"/>
      <c r="B50" s="94" t="s">
        <v>92</v>
      </c>
      <c r="C50" s="95">
        <f t="shared" si="4"/>
        <v>-2339022.9692406747</v>
      </c>
      <c r="D50" s="95">
        <f t="shared" si="7"/>
        <v>-27288.601307807872</v>
      </c>
      <c r="E50" s="95">
        <f t="shared" si="6"/>
        <v>601910.02816766303</v>
      </c>
      <c r="F50" s="95">
        <f t="shared" si="5"/>
        <v>574621.42685985519</v>
      </c>
      <c r="G50" s="95">
        <f t="shared" si="3"/>
        <v>-2940932.9974083379</v>
      </c>
    </row>
    <row r="51" spans="1:9">
      <c r="A51" s="94"/>
      <c r="B51" s="94" t="s">
        <v>93</v>
      </c>
      <c r="C51" s="95">
        <f t="shared" si="4"/>
        <v>-2940932.9974083379</v>
      </c>
      <c r="D51" s="95">
        <f t="shared" si="7"/>
        <v>-34310.884969763945</v>
      </c>
      <c r="E51" s="95">
        <f t="shared" si="6"/>
        <v>608932.31182961911</v>
      </c>
      <c r="F51" s="95">
        <f t="shared" si="5"/>
        <v>574621.42685985519</v>
      </c>
      <c r="G51" s="95">
        <f t="shared" si="3"/>
        <v>-3549865.309237957</v>
      </c>
    </row>
    <row r="52" spans="1:9">
      <c r="A52" s="94"/>
      <c r="B52" s="94" t="s">
        <v>94</v>
      </c>
      <c r="C52" s="95">
        <f t="shared" si="4"/>
        <v>-3549865.309237957</v>
      </c>
      <c r="D52" s="95">
        <f t="shared" si="7"/>
        <v>-41415.095274442836</v>
      </c>
      <c r="E52" s="95">
        <f t="shared" si="6"/>
        <v>616036.52213429799</v>
      </c>
      <c r="F52" s="95">
        <f t="shared" si="5"/>
        <v>574621.42685985519</v>
      </c>
      <c r="G52" s="95">
        <f t="shared" si="3"/>
        <v>-4165901.831372255</v>
      </c>
    </row>
    <row r="53" spans="1:9">
      <c r="A53" s="94"/>
      <c r="B53" s="94" t="s">
        <v>95</v>
      </c>
      <c r="C53" s="95">
        <f t="shared" si="4"/>
        <v>-4165901.831372255</v>
      </c>
      <c r="D53" s="95">
        <f t="shared" si="7"/>
        <v>-48602.188032676313</v>
      </c>
      <c r="E53" s="95">
        <f t="shared" si="6"/>
        <v>623223.61489253154</v>
      </c>
      <c r="F53" s="95">
        <f t="shared" si="5"/>
        <v>574621.42685985519</v>
      </c>
      <c r="G53" s="95">
        <f t="shared" si="3"/>
        <v>-4789125.4462647866</v>
      </c>
    </row>
    <row r="54" spans="1:9">
      <c r="A54" s="94"/>
      <c r="B54" s="94" t="s">
        <v>96</v>
      </c>
      <c r="C54" s="95">
        <f t="shared" si="4"/>
        <v>-4789125.4462647866</v>
      </c>
      <c r="D54" s="95">
        <f t="shared" si="7"/>
        <v>-55873.130206422509</v>
      </c>
      <c r="E54" s="95">
        <f t="shared" si="6"/>
        <v>630494.55706627772</v>
      </c>
      <c r="F54" s="95">
        <f t="shared" si="5"/>
        <v>574621.42685985519</v>
      </c>
      <c r="G54" s="95">
        <f t="shared" si="3"/>
        <v>-5419620.0033310642</v>
      </c>
    </row>
    <row r="55" spans="1:9">
      <c r="A55" s="94"/>
      <c r="B55" s="94" t="s">
        <v>97</v>
      </c>
      <c r="C55" s="95">
        <f t="shared" si="4"/>
        <v>-5419620.0033310642</v>
      </c>
      <c r="D55" s="95">
        <f t="shared" si="7"/>
        <v>-63228.900038862426</v>
      </c>
      <c r="E55" s="95">
        <f t="shared" si="6"/>
        <v>637850.32689871755</v>
      </c>
      <c r="F55" s="95">
        <f t="shared" si="5"/>
        <v>574621.42685985519</v>
      </c>
      <c r="G55" s="95">
        <f t="shared" si="3"/>
        <v>-6057470.3302297816</v>
      </c>
    </row>
    <row r="56" spans="1:9">
      <c r="A56" s="94"/>
      <c r="B56" s="94" t="s">
        <v>98</v>
      </c>
      <c r="C56" s="95">
        <f t="shared" si="4"/>
        <v>-6057470.3302297816</v>
      </c>
      <c r="D56" s="95">
        <f t="shared" si="7"/>
        <v>-70670.487186014128</v>
      </c>
      <c r="E56" s="95">
        <f t="shared" si="6"/>
        <v>645291.91404586937</v>
      </c>
      <c r="F56" s="95">
        <f t="shared" si="5"/>
        <v>574621.42685985519</v>
      </c>
      <c r="G56" s="95">
        <f t="shared" si="3"/>
        <v>-6702762.2442756509</v>
      </c>
    </row>
    <row r="57" spans="1:9">
      <c r="A57" s="94"/>
      <c r="B57" s="94" t="s">
        <v>99</v>
      </c>
      <c r="C57" s="95">
        <f t="shared" si="4"/>
        <v>-6702762.2442756509</v>
      </c>
      <c r="D57" s="95">
        <f t="shared" si="7"/>
        <v>-78198.892849882599</v>
      </c>
      <c r="E57" s="95">
        <f t="shared" si="6"/>
        <v>652820.31970973779</v>
      </c>
      <c r="F57" s="95">
        <f t="shared" si="5"/>
        <v>574621.42685985519</v>
      </c>
      <c r="G57" s="95">
        <f t="shared" si="3"/>
        <v>-7355582.5639853887</v>
      </c>
      <c r="H57" s="1"/>
      <c r="I57" s="1"/>
    </row>
    <row r="58" spans="1:9">
      <c r="A58" s="94" t="s">
        <v>15</v>
      </c>
      <c r="B58" s="94" t="s">
        <v>100</v>
      </c>
      <c r="C58" s="95">
        <f t="shared" si="4"/>
        <v>-7355582.5639853887</v>
      </c>
      <c r="D58" s="95">
        <f t="shared" si="7"/>
        <v>-85815.129913162877</v>
      </c>
      <c r="E58" s="95">
        <f t="shared" si="6"/>
        <v>660436.55677301809</v>
      </c>
      <c r="F58" s="95">
        <f t="shared" si="5"/>
        <v>574621.42685985519</v>
      </c>
      <c r="G58" s="95">
        <f t="shared" si="3"/>
        <v>-8016019.1207584068</v>
      </c>
    </row>
    <row r="59" spans="1:9">
      <c r="A59" s="94"/>
      <c r="B59" s="94" t="s">
        <v>101</v>
      </c>
      <c r="C59" s="95">
        <f t="shared" si="4"/>
        <v>-8016019.1207584068</v>
      </c>
      <c r="D59" s="95">
        <f t="shared" si="7"/>
        <v>-93520.223075514761</v>
      </c>
      <c r="E59" s="95">
        <f t="shared" si="6"/>
        <v>668141.64993536996</v>
      </c>
      <c r="F59" s="95">
        <f t="shared" si="5"/>
        <v>574621.42685985519</v>
      </c>
      <c r="G59" s="95">
        <f t="shared" si="3"/>
        <v>-8684160.7706937771</v>
      </c>
    </row>
    <row r="60" spans="1:9">
      <c r="A60" s="94"/>
      <c r="B60" s="94" t="s">
        <v>102</v>
      </c>
      <c r="C60" s="95">
        <f t="shared" si="4"/>
        <v>-8684160.7706937771</v>
      </c>
      <c r="D60" s="95">
        <f t="shared" si="7"/>
        <v>-101315.2089914274</v>
      </c>
      <c r="E60" s="95">
        <f t="shared" si="6"/>
        <v>675936.63585128263</v>
      </c>
      <c r="F60" s="95">
        <f t="shared" si="5"/>
        <v>574621.42685985519</v>
      </c>
      <c r="G60" s="95">
        <f t="shared" si="3"/>
        <v>-9360097.4065450598</v>
      </c>
    </row>
    <row r="61" spans="1:9">
      <c r="A61" s="94"/>
      <c r="B61" s="94" t="s">
        <v>103</v>
      </c>
      <c r="C61" s="95">
        <f t="shared" si="4"/>
        <v>-9360097.4065450598</v>
      </c>
      <c r="D61" s="95">
        <f t="shared" si="7"/>
        <v>-109201.13640969236</v>
      </c>
      <c r="E61" s="95">
        <f t="shared" si="6"/>
        <v>683822.56326954754</v>
      </c>
      <c r="F61" s="95">
        <f t="shared" si="5"/>
        <v>574621.42685985519</v>
      </c>
      <c r="G61" s="95">
        <f t="shared" si="3"/>
        <v>-10043919.969814608</v>
      </c>
    </row>
    <row r="62" spans="1:9">
      <c r="A62" s="94"/>
      <c r="B62" s="94" t="s">
        <v>104</v>
      </c>
      <c r="C62" s="95">
        <f t="shared" si="4"/>
        <v>-10043919.969814608</v>
      </c>
      <c r="D62" s="95">
        <f t="shared" si="7"/>
        <v>-117179.06631450377</v>
      </c>
      <c r="E62" s="95">
        <f t="shared" si="6"/>
        <v>691800.49317435897</v>
      </c>
      <c r="F62" s="95">
        <f t="shared" si="5"/>
        <v>574621.42685985519</v>
      </c>
      <c r="G62" s="95">
        <f t="shared" si="3"/>
        <v>-10735720.462988967</v>
      </c>
    </row>
    <row r="63" spans="1:9">
      <c r="A63" s="94"/>
      <c r="B63" s="94" t="s">
        <v>105</v>
      </c>
      <c r="C63" s="95">
        <f t="shared" si="4"/>
        <v>-10735720.462988967</v>
      </c>
      <c r="D63" s="95">
        <f t="shared" si="7"/>
        <v>-125250.07206820462</v>
      </c>
      <c r="E63" s="95">
        <f t="shared" si="6"/>
        <v>699871.49892805982</v>
      </c>
      <c r="F63" s="95">
        <f t="shared" si="5"/>
        <v>574621.42685985519</v>
      </c>
      <c r="G63" s="95">
        <f t="shared" si="3"/>
        <v>-11435591.961917028</v>
      </c>
    </row>
    <row r="64" spans="1:9">
      <c r="A64" s="94"/>
      <c r="B64" s="94" t="s">
        <v>106</v>
      </c>
      <c r="C64" s="95">
        <f t="shared" si="4"/>
        <v>-11435591.961917028</v>
      </c>
      <c r="D64" s="95">
        <f t="shared" si="7"/>
        <v>-133415.23955569867</v>
      </c>
      <c r="E64" s="95">
        <f t="shared" si="6"/>
        <v>708036.66641555389</v>
      </c>
      <c r="F64" s="95">
        <f t="shared" si="5"/>
        <v>574621.42685985519</v>
      </c>
      <c r="G64" s="95">
        <f t="shared" si="3"/>
        <v>-12143628.628332581</v>
      </c>
    </row>
    <row r="65" spans="1:9">
      <c r="A65" s="94"/>
      <c r="B65" s="94" t="s">
        <v>107</v>
      </c>
      <c r="C65" s="95">
        <f t="shared" si="4"/>
        <v>-12143628.628332581</v>
      </c>
      <c r="D65" s="95">
        <f t="shared" si="7"/>
        <v>-141675.6673305468</v>
      </c>
      <c r="E65" s="95">
        <f t="shared" si="6"/>
        <v>716297.09419040196</v>
      </c>
      <c r="F65" s="95">
        <f t="shared" si="5"/>
        <v>574621.42685985519</v>
      </c>
      <c r="G65" s="95">
        <f t="shared" si="3"/>
        <v>-12859925.722522983</v>
      </c>
    </row>
    <row r="66" spans="1:9">
      <c r="A66" s="94"/>
      <c r="B66" s="94" t="s">
        <v>108</v>
      </c>
      <c r="C66" s="95">
        <f t="shared" si="4"/>
        <v>-12859925.722522983</v>
      </c>
      <c r="D66" s="95">
        <f t="shared" si="7"/>
        <v>-150032.46676276813</v>
      </c>
      <c r="E66" s="95">
        <f t="shared" si="6"/>
        <v>724653.89362262329</v>
      </c>
      <c r="F66" s="95">
        <f t="shared" si="5"/>
        <v>574621.42685985519</v>
      </c>
      <c r="G66" s="95">
        <f t="shared" si="3"/>
        <v>-13584579.616145607</v>
      </c>
    </row>
    <row r="67" spans="1:9">
      <c r="A67" s="94"/>
      <c r="B67" s="94" t="s">
        <v>109</v>
      </c>
      <c r="C67" s="95">
        <f t="shared" si="4"/>
        <v>-13584579.616145607</v>
      </c>
      <c r="D67" s="95">
        <f t="shared" si="7"/>
        <v>-158486.76218836542</v>
      </c>
      <c r="E67" s="95">
        <f t="shared" si="6"/>
        <v>733108.18904822064</v>
      </c>
      <c r="F67" s="95">
        <f t="shared" si="5"/>
        <v>574621.42685985519</v>
      </c>
      <c r="G67" s="95">
        <f t="shared" si="3"/>
        <v>-14317687.805193828</v>
      </c>
    </row>
    <row r="68" spans="1:9">
      <c r="A68" s="94"/>
      <c r="B68" s="94" t="s">
        <v>110</v>
      </c>
      <c r="C68" s="95">
        <f t="shared" si="4"/>
        <v>-14317687.805193828</v>
      </c>
      <c r="D68" s="95">
        <f t="shared" si="7"/>
        <v>-167039.69106059466</v>
      </c>
      <c r="E68" s="95">
        <f t="shared" si="6"/>
        <v>741661.11792044982</v>
      </c>
      <c r="F68" s="95">
        <f t="shared" si="5"/>
        <v>574621.42685985519</v>
      </c>
      <c r="G68" s="95">
        <f t="shared" si="3"/>
        <v>-15059348.923114277</v>
      </c>
    </row>
    <row r="69" spans="1:9">
      <c r="A69" s="94"/>
      <c r="B69" s="94" t="s">
        <v>111</v>
      </c>
      <c r="C69" s="95">
        <f t="shared" si="4"/>
        <v>-15059348.923114277</v>
      </c>
      <c r="D69" s="95">
        <f t="shared" si="7"/>
        <v>-175692.40410299992</v>
      </c>
      <c r="E69" s="95">
        <f t="shared" si="6"/>
        <v>750313.83096285514</v>
      </c>
      <c r="F69" s="95">
        <f t="shared" si="5"/>
        <v>574621.42685985519</v>
      </c>
      <c r="G69" s="95">
        <f t="shared" si="3"/>
        <v>-15809662.754077133</v>
      </c>
      <c r="H69" s="1"/>
      <c r="I69" s="1"/>
    </row>
    <row r="70" spans="1:9">
      <c r="A70" s="94" t="s">
        <v>16</v>
      </c>
      <c r="B70" s="94" t="s">
        <v>112</v>
      </c>
      <c r="C70" s="95">
        <f t="shared" si="4"/>
        <v>-15809662.754077133</v>
      </c>
      <c r="D70" s="95">
        <f t="shared" si="7"/>
        <v>-184446.06546423325</v>
      </c>
      <c r="E70" s="95">
        <f t="shared" si="6"/>
        <v>759067.49232408847</v>
      </c>
      <c r="F70" s="95">
        <f t="shared" si="5"/>
        <v>574621.42685985519</v>
      </c>
      <c r="G70" s="95">
        <f t="shared" si="3"/>
        <v>-16568730.246401221</v>
      </c>
    </row>
    <row r="71" spans="1:9">
      <c r="A71" s="94"/>
      <c r="B71" s="94" t="s">
        <v>113</v>
      </c>
      <c r="C71" s="95">
        <f t="shared" si="4"/>
        <v>-16568730.246401221</v>
      </c>
      <c r="D71" s="95">
        <f t="shared" si="7"/>
        <v>-193301.85287468092</v>
      </c>
      <c r="E71" s="95">
        <f t="shared" si="6"/>
        <v>767923.27973453607</v>
      </c>
      <c r="F71" s="95">
        <f t="shared" si="5"/>
        <v>574621.42685985519</v>
      </c>
      <c r="G71" s="95">
        <f t="shared" si="3"/>
        <v>-17336653.526135758</v>
      </c>
    </row>
    <row r="72" spans="1:9">
      <c r="A72" s="94"/>
      <c r="B72" s="94" t="s">
        <v>114</v>
      </c>
      <c r="C72" s="95">
        <f t="shared" si="4"/>
        <v>-17336653.526135758</v>
      </c>
      <c r="D72" s="95">
        <f t="shared" si="7"/>
        <v>-202260.95780491721</v>
      </c>
      <c r="E72" s="95">
        <f t="shared" si="6"/>
        <v>776882.38466477243</v>
      </c>
      <c r="F72" s="95">
        <f t="shared" si="5"/>
        <v>574621.42685985519</v>
      </c>
      <c r="G72" s="95">
        <f t="shared" si="3"/>
        <v>-18113535.910800532</v>
      </c>
    </row>
    <row r="73" spans="1:9">
      <c r="A73" s="94"/>
      <c r="B73" s="94" t="s">
        <v>115</v>
      </c>
      <c r="C73" s="95">
        <f t="shared" si="4"/>
        <v>-18113535.910800532</v>
      </c>
      <c r="D73" s="95">
        <f t="shared" si="7"/>
        <v>-211324.58562600621</v>
      </c>
      <c r="E73" s="95">
        <f t="shared" si="6"/>
        <v>785946.01248586143</v>
      </c>
      <c r="F73" s="95">
        <f t="shared" si="5"/>
        <v>574621.42685985519</v>
      </c>
      <c r="G73" s="95">
        <f t="shared" si="3"/>
        <v>-18899481.923286393</v>
      </c>
    </row>
    <row r="74" spans="1:9">
      <c r="A74" s="94"/>
      <c r="B74" s="94" t="s">
        <v>116</v>
      </c>
      <c r="C74" s="95">
        <f t="shared" si="4"/>
        <v>-18899481.923286393</v>
      </c>
      <c r="D74" s="95">
        <f t="shared" ref="D74:D93" si="8">C74*$D$5/12</f>
        <v>-220493.95577167461</v>
      </c>
      <c r="E74" s="95">
        <f t="shared" si="6"/>
        <v>795115.38263152982</v>
      </c>
      <c r="F74" s="95">
        <f t="shared" si="5"/>
        <v>574621.42685985519</v>
      </c>
      <c r="G74" s="95">
        <f t="shared" si="3"/>
        <v>-19694597.305917922</v>
      </c>
    </row>
    <row r="75" spans="1:9">
      <c r="A75" s="94"/>
      <c r="B75" s="94" t="s">
        <v>117</v>
      </c>
      <c r="C75" s="95">
        <f t="shared" si="4"/>
        <v>-19694597.305917922</v>
      </c>
      <c r="D75" s="95">
        <f t="shared" si="8"/>
        <v>-229770.30190237577</v>
      </c>
      <c r="E75" s="95">
        <f t="shared" si="6"/>
        <v>804391.72876223095</v>
      </c>
      <c r="F75" s="95">
        <f t="shared" ref="F75:F93" si="9">$D$8</f>
        <v>574621.42685985519</v>
      </c>
      <c r="G75" s="95">
        <f t="shared" ref="G75:G93" si="10">C75-E75</f>
        <v>-20498989.034680154</v>
      </c>
    </row>
    <row r="76" spans="1:9">
      <c r="A76" s="94"/>
      <c r="B76" s="94" t="s">
        <v>118</v>
      </c>
      <c r="C76" s="95">
        <f t="shared" ref="C76:C93" si="11">G75</f>
        <v>-20498989.034680154</v>
      </c>
      <c r="D76" s="95">
        <f t="shared" si="8"/>
        <v>-239154.8720712685</v>
      </c>
      <c r="E76" s="95">
        <f t="shared" si="6"/>
        <v>813776.29893112369</v>
      </c>
      <c r="F76" s="95">
        <f t="shared" si="9"/>
        <v>574621.42685985519</v>
      </c>
      <c r="G76" s="95">
        <f t="shared" si="10"/>
        <v>-21312765.33361128</v>
      </c>
    </row>
    <row r="77" spans="1:9">
      <c r="A77" s="94"/>
      <c r="B77" s="94" t="s">
        <v>119</v>
      </c>
      <c r="C77" s="95">
        <f t="shared" si="11"/>
        <v>-21312765.33361128</v>
      </c>
      <c r="D77" s="95">
        <f t="shared" si="8"/>
        <v>-248648.92889213163</v>
      </c>
      <c r="E77" s="95">
        <f t="shared" si="6"/>
        <v>823270.35575198685</v>
      </c>
      <c r="F77" s="95">
        <f t="shared" si="9"/>
        <v>574621.42685985519</v>
      </c>
      <c r="G77" s="95">
        <f t="shared" si="10"/>
        <v>-22136035.689363267</v>
      </c>
    </row>
    <row r="78" spans="1:9">
      <c r="A78" s="94"/>
      <c r="B78" s="94" t="s">
        <v>120</v>
      </c>
      <c r="C78" s="95">
        <f t="shared" si="11"/>
        <v>-22136035.689363267</v>
      </c>
      <c r="D78" s="95">
        <f t="shared" si="8"/>
        <v>-258253.74970923815</v>
      </c>
      <c r="E78" s="95">
        <f t="shared" si="6"/>
        <v>832875.17656909337</v>
      </c>
      <c r="F78" s="95">
        <f t="shared" si="9"/>
        <v>574621.42685985519</v>
      </c>
      <c r="G78" s="95">
        <f t="shared" si="10"/>
        <v>-22968910.86593236</v>
      </c>
    </row>
    <row r="79" spans="1:9">
      <c r="A79" s="94"/>
      <c r="B79" s="94" t="s">
        <v>121</v>
      </c>
      <c r="C79" s="95">
        <f t="shared" si="11"/>
        <v>-22968910.86593236</v>
      </c>
      <c r="D79" s="95">
        <f t="shared" si="8"/>
        <v>-267970.62676921091</v>
      </c>
      <c r="E79" s="95">
        <f t="shared" si="6"/>
        <v>842592.0536290661</v>
      </c>
      <c r="F79" s="95">
        <f t="shared" si="9"/>
        <v>574621.42685985519</v>
      </c>
      <c r="G79" s="95">
        <f t="shared" si="10"/>
        <v>-23811502.919561427</v>
      </c>
    </row>
    <row r="80" spans="1:9">
      <c r="A80" s="94"/>
      <c r="B80" s="94" t="s">
        <v>122</v>
      </c>
      <c r="C80" s="95">
        <f t="shared" si="11"/>
        <v>-23811502.919561427</v>
      </c>
      <c r="D80" s="95">
        <f t="shared" si="8"/>
        <v>-277800.86739488336</v>
      </c>
      <c r="E80" s="95">
        <f t="shared" si="6"/>
        <v>852422.2942547386</v>
      </c>
      <c r="F80" s="95">
        <f t="shared" si="9"/>
        <v>574621.42685985519</v>
      </c>
      <c r="G80" s="95">
        <f t="shared" si="10"/>
        <v>-24663925.213816166</v>
      </c>
    </row>
    <row r="81" spans="1:9">
      <c r="A81" s="94"/>
      <c r="B81" s="94" t="s">
        <v>123</v>
      </c>
      <c r="C81" s="95">
        <f t="shared" si="11"/>
        <v>-24663925.213816166</v>
      </c>
      <c r="D81" s="95">
        <f t="shared" si="8"/>
        <v>-287745.79416118865</v>
      </c>
      <c r="E81" s="95">
        <f t="shared" ref="E81:E93" si="12">F81-D81</f>
        <v>862367.22102104384</v>
      </c>
      <c r="F81" s="95">
        <f t="shared" si="9"/>
        <v>574621.42685985519</v>
      </c>
      <c r="G81" s="95">
        <f t="shared" si="10"/>
        <v>-25526292.434837211</v>
      </c>
      <c r="H81" s="1"/>
      <c r="I81" s="1"/>
    </row>
    <row r="82" spans="1:9">
      <c r="A82" s="94" t="s">
        <v>279</v>
      </c>
      <c r="B82" s="94" t="s">
        <v>214</v>
      </c>
      <c r="C82" s="95">
        <f t="shared" si="11"/>
        <v>-25526292.434837211</v>
      </c>
      <c r="D82" s="95">
        <f t="shared" si="8"/>
        <v>-297806.74507310084</v>
      </c>
      <c r="E82" s="95">
        <f t="shared" si="12"/>
        <v>872428.17193295597</v>
      </c>
      <c r="F82" s="95">
        <f t="shared" si="9"/>
        <v>574621.42685985519</v>
      </c>
      <c r="G82" s="95">
        <f t="shared" si="10"/>
        <v>-26398720.606770165</v>
      </c>
    </row>
    <row r="83" spans="1:9">
      <c r="A83" s="94"/>
      <c r="B83" s="94" t="s">
        <v>215</v>
      </c>
      <c r="C83" s="95">
        <f t="shared" si="11"/>
        <v>-26398720.606770165</v>
      </c>
      <c r="D83" s="95">
        <f t="shared" si="8"/>
        <v>-307985.07374565193</v>
      </c>
      <c r="E83" s="95">
        <f t="shared" si="12"/>
        <v>882606.50060550706</v>
      </c>
      <c r="F83" s="95">
        <f t="shared" si="9"/>
        <v>574621.42685985519</v>
      </c>
      <c r="G83" s="95">
        <f t="shared" si="10"/>
        <v>-27281327.107375674</v>
      </c>
    </row>
    <row r="84" spans="1:9">
      <c r="A84" s="94"/>
      <c r="B84" s="94" t="s">
        <v>216</v>
      </c>
      <c r="C84" s="95">
        <f t="shared" si="11"/>
        <v>-27281327.107375674</v>
      </c>
      <c r="D84" s="95">
        <f t="shared" si="8"/>
        <v>-318282.14958604955</v>
      </c>
      <c r="E84" s="95">
        <f t="shared" si="12"/>
        <v>892903.57644590479</v>
      </c>
      <c r="F84" s="95">
        <f t="shared" si="9"/>
        <v>574621.42685985519</v>
      </c>
      <c r="G84" s="95">
        <f t="shared" si="10"/>
        <v>-28174230.683821578</v>
      </c>
    </row>
    <row r="85" spans="1:9">
      <c r="A85" s="94"/>
      <c r="B85" s="94" t="s">
        <v>217</v>
      </c>
      <c r="C85" s="95">
        <f t="shared" si="11"/>
        <v>-28174230.683821578</v>
      </c>
      <c r="D85" s="95">
        <f t="shared" si="8"/>
        <v>-328699.35797791841</v>
      </c>
      <c r="E85" s="95">
        <f t="shared" si="12"/>
        <v>903320.78483777354</v>
      </c>
      <c r="F85" s="95">
        <f t="shared" si="9"/>
        <v>574621.42685985519</v>
      </c>
      <c r="G85" s="95">
        <f t="shared" si="10"/>
        <v>-29077551.468659353</v>
      </c>
    </row>
    <row r="86" spans="1:9">
      <c r="A86" s="94"/>
      <c r="B86" s="94" t="s">
        <v>218</v>
      </c>
      <c r="C86" s="95">
        <f t="shared" si="11"/>
        <v>-29077551.468659353</v>
      </c>
      <c r="D86" s="95">
        <f t="shared" si="8"/>
        <v>-339238.10046769248</v>
      </c>
      <c r="E86" s="95">
        <f t="shared" si="12"/>
        <v>913859.52732754766</v>
      </c>
      <c r="F86" s="95">
        <f t="shared" si="9"/>
        <v>574621.42685985519</v>
      </c>
      <c r="G86" s="95">
        <f t="shared" si="10"/>
        <v>-29991410.995986901</v>
      </c>
    </row>
    <row r="87" spans="1:9">
      <c r="A87" s="94"/>
      <c r="B87" s="94" t="s">
        <v>219</v>
      </c>
      <c r="C87" s="95">
        <f t="shared" si="11"/>
        <v>-29991410.995986901</v>
      </c>
      <c r="D87" s="95">
        <f t="shared" si="8"/>
        <v>-349899.79495318054</v>
      </c>
      <c r="E87" s="95">
        <f t="shared" si="12"/>
        <v>924521.22181303566</v>
      </c>
      <c r="F87" s="95">
        <f t="shared" si="9"/>
        <v>574621.42685985519</v>
      </c>
      <c r="G87" s="95">
        <f t="shared" si="10"/>
        <v>-30915932.217799935</v>
      </c>
    </row>
    <row r="88" spans="1:9">
      <c r="A88" s="94"/>
      <c r="B88" s="94" t="s">
        <v>220</v>
      </c>
      <c r="C88" s="95">
        <f t="shared" si="11"/>
        <v>-30915932.217799935</v>
      </c>
      <c r="D88" s="95">
        <f t="shared" si="8"/>
        <v>-360685.87587433262</v>
      </c>
      <c r="E88" s="95">
        <f t="shared" si="12"/>
        <v>935307.3027341878</v>
      </c>
      <c r="F88" s="95">
        <f t="shared" si="9"/>
        <v>574621.42685985519</v>
      </c>
      <c r="G88" s="95">
        <f t="shared" si="10"/>
        <v>-31851239.520534124</v>
      </c>
    </row>
    <row r="89" spans="1:9">
      <c r="A89" s="94"/>
      <c r="B89" s="94" t="s">
        <v>221</v>
      </c>
      <c r="C89" s="95">
        <f t="shared" si="11"/>
        <v>-31851239.520534124</v>
      </c>
      <c r="D89" s="95">
        <f t="shared" si="8"/>
        <v>-371597.79440623149</v>
      </c>
      <c r="E89" s="95">
        <f t="shared" si="12"/>
        <v>946219.22126608668</v>
      </c>
      <c r="F89" s="95">
        <f t="shared" si="9"/>
        <v>574621.42685985519</v>
      </c>
      <c r="G89" s="95">
        <f t="shared" si="10"/>
        <v>-32797458.741800211</v>
      </c>
    </row>
    <row r="90" spans="1:9">
      <c r="A90" s="94"/>
      <c r="B90" s="94" t="s">
        <v>222</v>
      </c>
      <c r="C90" s="95">
        <f t="shared" si="11"/>
        <v>-32797458.741800211</v>
      </c>
      <c r="D90" s="95">
        <f t="shared" si="8"/>
        <v>-382637.01865433581</v>
      </c>
      <c r="E90" s="95">
        <f t="shared" si="12"/>
        <v>957258.44551419094</v>
      </c>
      <c r="F90" s="95">
        <f t="shared" si="9"/>
        <v>574621.42685985519</v>
      </c>
      <c r="G90" s="95">
        <f t="shared" si="10"/>
        <v>-33754717.187314406</v>
      </c>
    </row>
    <row r="91" spans="1:9">
      <c r="A91" s="94"/>
      <c r="B91" s="94" t="s">
        <v>223</v>
      </c>
      <c r="C91" s="95">
        <f t="shared" si="11"/>
        <v>-33754717.187314406</v>
      </c>
      <c r="D91" s="95">
        <f t="shared" si="8"/>
        <v>-393805.03385200142</v>
      </c>
      <c r="E91" s="95">
        <f t="shared" si="12"/>
        <v>968426.46071185661</v>
      </c>
      <c r="F91" s="95">
        <f t="shared" si="9"/>
        <v>574621.42685985519</v>
      </c>
      <c r="G91" s="95">
        <f t="shared" si="10"/>
        <v>-34723143.648026265</v>
      </c>
    </row>
    <row r="92" spans="1:9">
      <c r="A92" s="94"/>
      <c r="B92" s="94" t="s">
        <v>224</v>
      </c>
      <c r="C92" s="95">
        <f t="shared" si="11"/>
        <v>-34723143.648026265</v>
      </c>
      <c r="D92" s="95">
        <f t="shared" si="8"/>
        <v>-405103.34256030648</v>
      </c>
      <c r="E92" s="95">
        <f t="shared" si="12"/>
        <v>979724.76942016161</v>
      </c>
      <c r="F92" s="95">
        <f t="shared" si="9"/>
        <v>574621.42685985519</v>
      </c>
      <c r="G92" s="95">
        <f t="shared" si="10"/>
        <v>-35702868.417446427</v>
      </c>
    </row>
    <row r="93" spans="1:9">
      <c r="A93" s="94"/>
      <c r="B93" s="94" t="s">
        <v>225</v>
      </c>
      <c r="C93" s="95">
        <f t="shared" si="11"/>
        <v>-35702868.417446427</v>
      </c>
      <c r="D93" s="95">
        <f t="shared" si="8"/>
        <v>-416533.46487020835</v>
      </c>
      <c r="E93" s="95">
        <f t="shared" si="12"/>
        <v>991154.89173006359</v>
      </c>
      <c r="F93" s="95">
        <f t="shared" si="9"/>
        <v>574621.42685985519</v>
      </c>
      <c r="G93" s="95">
        <f t="shared" si="10"/>
        <v>-36694023.30917649</v>
      </c>
    </row>
    <row r="94" spans="1:9">
      <c r="A94" s="93"/>
      <c r="B94" s="93"/>
      <c r="C94" s="93"/>
      <c r="D94" s="102">
        <f>SUM(D10:D93)</f>
        <v>-5335012.1963477666</v>
      </c>
      <c r="E94" s="102">
        <f>SUM(E10:E93)</f>
        <v>51168711.677176461</v>
      </c>
      <c r="F94" s="93"/>
      <c r="G94" s="93"/>
    </row>
    <row r="95" spans="1:9" ht="39.950000000000003" customHeight="1">
      <c r="A95" s="436" t="s">
        <v>418</v>
      </c>
      <c r="B95" s="436"/>
      <c r="C95" s="436"/>
      <c r="D95" s="436"/>
      <c r="E95" s="436"/>
      <c r="F95" s="436"/>
      <c r="G95" s="436"/>
      <c r="H95" s="436"/>
    </row>
    <row r="96" spans="1:9">
      <c r="A96" t="s">
        <v>536</v>
      </c>
    </row>
    <row r="97" spans="1:2">
      <c r="A97">
        <v>1</v>
      </c>
      <c r="B97" t="s">
        <v>537</v>
      </c>
    </row>
    <row r="98" spans="1:2">
      <c r="A98">
        <v>2</v>
      </c>
      <c r="B98" t="s">
        <v>538</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8"/>
  <sheetViews>
    <sheetView view="pageBreakPreview" topLeftCell="A19" zoomScale="80" zoomScaleSheetLayoutView="80" workbookViewId="0">
      <selection activeCell="D1" sqref="D1"/>
    </sheetView>
  </sheetViews>
  <sheetFormatPr defaultRowHeight="15"/>
  <cols>
    <col min="2" max="2" width="7.5703125" bestFit="1" customWidth="1"/>
    <col min="3" max="3" width="30.5703125" customWidth="1"/>
    <col min="4" max="4" width="16.85546875" bestFit="1" customWidth="1"/>
    <col min="5" max="5" width="15.7109375"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14" t="s">
        <v>552</v>
      </c>
      <c r="D2" s="414"/>
      <c r="E2" s="414"/>
      <c r="F2" s="414"/>
      <c r="G2" s="414"/>
      <c r="H2" s="414"/>
      <c r="I2" s="414"/>
      <c r="J2" s="414"/>
      <c r="K2" s="414"/>
      <c r="L2" s="209"/>
    </row>
    <row r="3" spans="3:22">
      <c r="C3" s="82" t="s">
        <v>0</v>
      </c>
      <c r="D3" s="82"/>
      <c r="E3" s="83" t="s">
        <v>2</v>
      </c>
      <c r="F3" s="83" t="s">
        <v>3</v>
      </c>
      <c r="G3" s="83" t="s">
        <v>4</v>
      </c>
      <c r="H3" s="83" t="s">
        <v>5</v>
      </c>
      <c r="I3" s="83" t="s">
        <v>6</v>
      </c>
      <c r="J3" s="83" t="s">
        <v>167</v>
      </c>
      <c r="K3" s="83" t="s">
        <v>166</v>
      </c>
      <c r="L3" s="93"/>
      <c r="M3" s="93"/>
      <c r="N3" s="241"/>
      <c r="O3" s="241"/>
      <c r="P3" s="241"/>
      <c r="Q3" s="241"/>
      <c r="R3" s="241"/>
      <c r="S3" s="241"/>
      <c r="T3" s="241"/>
      <c r="U3" s="241"/>
      <c r="V3" s="241"/>
    </row>
    <row r="4" spans="3:22">
      <c r="C4" s="94" t="s">
        <v>365</v>
      </c>
      <c r="D4" s="94"/>
      <c r="E4" s="94"/>
      <c r="F4" s="94"/>
      <c r="G4" s="94"/>
      <c r="H4" s="94"/>
      <c r="I4" s="94"/>
      <c r="J4" s="94"/>
      <c r="K4" s="94"/>
      <c r="L4" s="93"/>
      <c r="M4" s="93"/>
      <c r="N4" s="447" t="s">
        <v>532</v>
      </c>
      <c r="O4" s="447"/>
      <c r="P4" s="447"/>
      <c r="Q4" s="447"/>
      <c r="R4" s="447"/>
      <c r="S4" s="241"/>
      <c r="T4" s="241"/>
      <c r="U4" s="447" t="s">
        <v>533</v>
      </c>
      <c r="V4" s="447"/>
    </row>
    <row r="5" spans="3:22">
      <c r="C5" s="94" t="s">
        <v>366</v>
      </c>
      <c r="D5" s="189"/>
      <c r="E5" s="94"/>
      <c r="F5" s="95">
        <f t="shared" ref="F5:K8" si="0">E14</f>
        <v>0</v>
      </c>
      <c r="G5" s="95">
        <f t="shared" si="0"/>
        <v>0</v>
      </c>
      <c r="H5" s="95">
        <f t="shared" si="0"/>
        <v>0</v>
      </c>
      <c r="I5" s="95">
        <f t="shared" si="0"/>
        <v>0</v>
      </c>
      <c r="J5" s="95">
        <f t="shared" si="0"/>
        <v>0</v>
      </c>
      <c r="K5" s="95">
        <f t="shared" si="0"/>
        <v>0</v>
      </c>
      <c r="L5" s="93"/>
      <c r="M5" s="93"/>
      <c r="N5" s="446" t="s">
        <v>534</v>
      </c>
      <c r="O5" s="446"/>
      <c r="P5" s="446"/>
      <c r="Q5" s="446"/>
      <c r="R5" s="446"/>
      <c r="S5" s="241"/>
      <c r="T5" s="241"/>
      <c r="U5" s="446" t="s">
        <v>534</v>
      </c>
      <c r="V5" s="446"/>
    </row>
    <row r="6" spans="3:22">
      <c r="C6" s="94" t="s">
        <v>456</v>
      </c>
      <c r="D6" s="189"/>
      <c r="E6" s="94"/>
      <c r="F6" s="95">
        <f t="shared" si="0"/>
        <v>6037348.2307202946</v>
      </c>
      <c r="G6" s="95">
        <f t="shared" si="0"/>
        <v>7395751.5826323619</v>
      </c>
      <c r="H6" s="95">
        <f t="shared" si="0"/>
        <v>8874901.8991588335</v>
      </c>
      <c r="I6" s="95">
        <f t="shared" si="0"/>
        <v>10483477.868381372</v>
      </c>
      <c r="J6" s="95">
        <f t="shared" si="0"/>
        <v>12230724.179778272</v>
      </c>
      <c r="K6" s="95">
        <f t="shared" si="0"/>
        <v>14126486.427643903</v>
      </c>
      <c r="L6" s="93"/>
      <c r="M6" s="93"/>
      <c r="N6" s="242" t="s">
        <v>0</v>
      </c>
      <c r="O6" s="242" t="s">
        <v>161</v>
      </c>
      <c r="P6" s="242" t="s">
        <v>162</v>
      </c>
      <c r="Q6" s="242" t="s">
        <v>315</v>
      </c>
      <c r="R6" s="242" t="s">
        <v>316</v>
      </c>
      <c r="S6" s="241"/>
      <c r="T6" s="241"/>
      <c r="U6" s="328" t="s">
        <v>0</v>
      </c>
      <c r="V6" s="328" t="s">
        <v>491</v>
      </c>
    </row>
    <row r="7" spans="3:22">
      <c r="C7" s="94" t="s">
        <v>690</v>
      </c>
      <c r="D7" s="189"/>
      <c r="E7" s="94"/>
      <c r="F7" s="95">
        <f t="shared" si="0"/>
        <v>24286.7017935</v>
      </c>
      <c r="G7" s="95">
        <f t="shared" si="0"/>
        <v>38251.555324762514</v>
      </c>
      <c r="H7" s="95">
        <f t="shared" si="0"/>
        <v>53552.177454667508</v>
      </c>
      <c r="I7" s="95">
        <f t="shared" si="0"/>
        <v>70287.232909251106</v>
      </c>
      <c r="J7" s="95">
        <f t="shared" si="0"/>
        <v>88561.913465656398</v>
      </c>
      <c r="K7" s="95">
        <f t="shared" si="0"/>
        <v>108488.3439954291</v>
      </c>
      <c r="L7" s="93"/>
      <c r="M7" s="93"/>
      <c r="N7" s="243" t="s">
        <v>367</v>
      </c>
      <c r="O7" s="243">
        <f>'13.Facility 2 Grain Processing'!C155</f>
        <v>20</v>
      </c>
      <c r="P7" s="243">
        <f>'13.Facility 2 Grain Processing'!C156</f>
        <v>20</v>
      </c>
      <c r="Q7" s="243">
        <f>'13.Facility 2 Grain Processing'!C157</f>
        <v>35</v>
      </c>
      <c r="R7" s="243">
        <f>'13.Facility 2 Grain Processing'!C158</f>
        <v>30</v>
      </c>
      <c r="S7" s="241"/>
      <c r="T7" s="241"/>
      <c r="U7" s="243" t="s">
        <v>343</v>
      </c>
      <c r="V7" s="243">
        <f>'17.Facility 6 Horti Processing '!C163</f>
        <v>0</v>
      </c>
    </row>
    <row r="8" spans="3:22">
      <c r="C8" s="94" t="str">
        <f>C17</f>
        <v xml:space="preserve">Horticulture Processing </v>
      </c>
      <c r="D8" s="94"/>
      <c r="E8" s="94"/>
      <c r="F8" s="95">
        <f>E17</f>
        <v>0</v>
      </c>
      <c r="G8" s="95">
        <f t="shared" si="0"/>
        <v>0</v>
      </c>
      <c r="H8" s="95">
        <f t="shared" si="0"/>
        <v>0</v>
      </c>
      <c r="I8" s="95">
        <f t="shared" si="0"/>
        <v>0</v>
      </c>
      <c r="J8" s="95">
        <f t="shared" si="0"/>
        <v>0</v>
      </c>
      <c r="K8" s="95">
        <f t="shared" si="0"/>
        <v>0</v>
      </c>
      <c r="L8" s="93"/>
      <c r="M8" s="93"/>
      <c r="N8" s="243">
        <f>'13.Facility 2 Grain Processing'!A159</f>
        <v>0</v>
      </c>
      <c r="O8" s="243">
        <f>('13.Facility 2 Grain Processing'!B159*'13.Facility 2 Grain Processing'!C159/1000)*100</f>
        <v>0</v>
      </c>
      <c r="P8" s="243">
        <f>O8</f>
        <v>0</v>
      </c>
      <c r="Q8" s="243">
        <f t="shared" ref="Q8:R8" si="1">P8</f>
        <v>0</v>
      </c>
      <c r="R8" s="243">
        <f t="shared" si="1"/>
        <v>0</v>
      </c>
      <c r="S8" s="241"/>
      <c r="T8" s="241"/>
      <c r="U8" s="243" t="str">
        <f>'17.Facility 6 Horti Processing '!A164</f>
        <v>Other Consumbales</v>
      </c>
      <c r="V8" s="244">
        <f>'17.Facility 6 Horti Processing '!C164</f>
        <v>0</v>
      </c>
    </row>
    <row r="9" spans="3:22">
      <c r="C9" s="94"/>
      <c r="D9" s="94"/>
      <c r="E9" s="94"/>
      <c r="F9" s="95"/>
      <c r="G9" s="95"/>
      <c r="H9" s="95"/>
      <c r="I9" s="95"/>
      <c r="J9" s="95"/>
      <c r="K9" s="95"/>
      <c r="L9" s="93"/>
      <c r="M9" s="93"/>
      <c r="N9" s="243" t="str">
        <f>'13.Facility 2 Grain Processing'!A160</f>
        <v xml:space="preserve">Daily Labour </v>
      </c>
      <c r="O9" s="245">
        <f>('13.Facility 2 Grain Processing'!B160*'13.Facility 2 Grain Processing'!C160)/('13.Facility 2 Grain Processing'!B5*'13.Facility 2 Grain Processing'!B6)</f>
        <v>21.875</v>
      </c>
      <c r="P9" s="245">
        <f>O9</f>
        <v>21.875</v>
      </c>
      <c r="Q9" s="245">
        <f t="shared" ref="Q9:R9" si="2">P9</f>
        <v>21.875</v>
      </c>
      <c r="R9" s="245">
        <f t="shared" si="2"/>
        <v>21.875</v>
      </c>
      <c r="S9" s="241"/>
      <c r="T9" s="241"/>
      <c r="U9" s="243" t="str">
        <f>'17.Facility 6 Horti Processing '!A165</f>
        <v xml:space="preserve">Daily Labour </v>
      </c>
      <c r="V9" s="244">
        <f>'17.Facility 6 Horti Processing '!B165*'17.Facility 6 Horti Processing '!C165/('17.Facility 6 Horti Processing '!B5*'17.Facility 6 Horti Processing '!B6)</f>
        <v>0</v>
      </c>
    </row>
    <row r="10" spans="3:22">
      <c r="C10" s="94"/>
      <c r="D10" s="94"/>
      <c r="E10" s="94"/>
      <c r="F10" s="95"/>
      <c r="G10" s="95"/>
      <c r="H10" s="95"/>
      <c r="I10" s="95"/>
      <c r="J10" s="95"/>
      <c r="K10" s="95"/>
      <c r="L10" s="93"/>
      <c r="M10" s="93"/>
      <c r="N10" s="243" t="str">
        <f>'13.Facility 2 Grain Processing'!A161</f>
        <v>Electricity Charges</v>
      </c>
      <c r="O10" s="245">
        <f>('13.Facility 2 Grain Processing'!B161*'13.Facility 2 Grain Processing'!C161)/('13.Facility 2 Grain Processing'!B5*'13.Facility 2 Grain Processing'!B6)</f>
        <v>0</v>
      </c>
      <c r="P10" s="245">
        <f>O10</f>
        <v>0</v>
      </c>
      <c r="Q10" s="245">
        <f t="shared" ref="Q10" si="3">P10</f>
        <v>0</v>
      </c>
      <c r="R10" s="245">
        <f t="shared" ref="R10" si="4">Q10</f>
        <v>0</v>
      </c>
      <c r="S10" s="241"/>
      <c r="T10" s="241"/>
      <c r="U10" s="243" t="str">
        <f>'17.Facility 6 Horti Processing '!A166</f>
        <v>Electricity Charges</v>
      </c>
      <c r="V10" s="243">
        <f>'17.Facility 6 Horti Processing '!B166*'17.Facility 6 Horti Processing '!C166/('17.Facility 6 Horti Processing '!B5*'17.Facility 6 Horti Processing '!B6)</f>
        <v>0</v>
      </c>
    </row>
    <row r="11" spans="3:22">
      <c r="C11" s="94" t="s">
        <v>1</v>
      </c>
      <c r="D11" s="94"/>
      <c r="E11" s="95"/>
      <c r="F11" s="95">
        <f t="shared" ref="F11:K11" si="5">SUM(F5:F10)</f>
        <v>6061634.9325137949</v>
      </c>
      <c r="G11" s="95">
        <f t="shared" si="5"/>
        <v>7434003.137957124</v>
      </c>
      <c r="H11" s="95">
        <f t="shared" si="5"/>
        <v>8928454.0766135007</v>
      </c>
      <c r="I11" s="95">
        <f t="shared" si="5"/>
        <v>10553765.101290623</v>
      </c>
      <c r="J11" s="95">
        <f t="shared" si="5"/>
        <v>12319286.093243929</v>
      </c>
      <c r="K11" s="95">
        <f t="shared" si="5"/>
        <v>14234974.771639332</v>
      </c>
      <c r="L11" s="93"/>
      <c r="M11" s="93"/>
      <c r="N11" s="243" t="str">
        <f>'13.Facility 2 Grain Processing'!A162</f>
        <v>Loading/Unloading Charges</v>
      </c>
      <c r="O11" s="243">
        <f>'13.Facility 2 Grain Processing'!C162*2</f>
        <v>20</v>
      </c>
      <c r="P11" s="243">
        <f>O11</f>
        <v>20</v>
      </c>
      <c r="Q11" s="243">
        <f t="shared" ref="Q11:R12" si="6">P11</f>
        <v>20</v>
      </c>
      <c r="R11" s="243">
        <f t="shared" si="6"/>
        <v>20</v>
      </c>
      <c r="S11" s="241"/>
      <c r="T11" s="241"/>
      <c r="U11" s="243" t="str">
        <f>'17.Facility 6 Horti Processing '!A167</f>
        <v>Loading/Unloading Charges</v>
      </c>
      <c r="V11" s="243">
        <f>'17.Facility 6 Horti Processing '!C167</f>
        <v>0</v>
      </c>
    </row>
    <row r="12" spans="3:22">
      <c r="C12" s="94"/>
      <c r="D12" s="94"/>
      <c r="E12" s="94"/>
      <c r="F12" s="95"/>
      <c r="G12" s="95"/>
      <c r="H12" s="95"/>
      <c r="I12" s="95"/>
      <c r="J12" s="95"/>
      <c r="K12" s="95"/>
      <c r="L12" s="93"/>
      <c r="M12" s="93"/>
      <c r="N12" s="243" t="str">
        <f>'13.Facility 2 Grain Processing'!A163</f>
        <v>packaging Exp</v>
      </c>
      <c r="O12" s="243">
        <f>'13.Facility 2 Grain Processing'!C163*2</f>
        <v>40</v>
      </c>
      <c r="P12" s="243">
        <f>O12</f>
        <v>40</v>
      </c>
      <c r="Q12" s="243">
        <f t="shared" si="6"/>
        <v>40</v>
      </c>
      <c r="R12" s="243">
        <f t="shared" si="6"/>
        <v>40</v>
      </c>
      <c r="S12" s="241"/>
      <c r="T12" s="241"/>
      <c r="U12" s="243" t="str">
        <f>'17.Facility 6 Horti Processing '!A168</f>
        <v>packaging Exp</v>
      </c>
      <c r="V12" s="10">
        <f>'17.Facility 6 Horti Processing '!C168*100</f>
        <v>0</v>
      </c>
    </row>
    <row r="13" spans="3:22">
      <c r="C13" s="96" t="s">
        <v>345</v>
      </c>
      <c r="D13" s="94"/>
      <c r="E13" s="94"/>
      <c r="F13" s="95"/>
      <c r="G13" s="95"/>
      <c r="H13" s="95"/>
      <c r="I13" s="95"/>
      <c r="J13" s="95"/>
      <c r="K13" s="95"/>
      <c r="L13" s="93"/>
      <c r="M13" s="93"/>
      <c r="N13" s="243"/>
      <c r="O13" s="10"/>
      <c r="P13" s="10"/>
      <c r="Q13" s="10"/>
      <c r="R13" s="10"/>
      <c r="S13" s="241"/>
      <c r="T13" s="241"/>
      <c r="U13" s="10"/>
      <c r="V13" s="10"/>
    </row>
    <row r="14" spans="3:22">
      <c r="C14" s="94" t="str">
        <f>C5</f>
        <v>Agri Input</v>
      </c>
      <c r="D14" s="266">
        <v>0</v>
      </c>
      <c r="E14" s="95">
        <f>SUM('16.Facility 5 Agri Input'!D197:D252)*$D$14</f>
        <v>0</v>
      </c>
      <c r="F14" s="95">
        <f>SUM('16.Facility 5 Agri Input'!E197:E252)*$D$14</f>
        <v>0</v>
      </c>
      <c r="G14" s="95">
        <f>SUM('16.Facility 5 Agri Input'!F197:F252)*$D$14</f>
        <v>0</v>
      </c>
      <c r="H14" s="95">
        <f>SUM('16.Facility 5 Agri Input'!G197:G252)*$D$14</f>
        <v>0</v>
      </c>
      <c r="I14" s="95">
        <f>SUM('16.Facility 5 Agri Input'!H197:H252)*$D$14</f>
        <v>0</v>
      </c>
      <c r="J14" s="95">
        <f>SUM('16.Facility 5 Agri Input'!I197:I252)*$D$14</f>
        <v>0</v>
      </c>
      <c r="K14" s="95">
        <f>SUM('16.Facility 5 Agri Input'!J197:J252)*$D$14</f>
        <v>0</v>
      </c>
      <c r="L14" s="93"/>
      <c r="M14" s="93"/>
      <c r="N14" s="10"/>
      <c r="O14" s="10"/>
      <c r="P14" s="10"/>
      <c r="Q14" s="10"/>
      <c r="R14" s="10"/>
      <c r="U14" s="10"/>
      <c r="V14" s="10"/>
    </row>
    <row r="15" spans="3:22">
      <c r="C15" s="94" t="str">
        <f>C6</f>
        <v>Trading</v>
      </c>
      <c r="D15" s="266">
        <v>0.2</v>
      </c>
      <c r="E15" s="95">
        <f>SUM('12.Facility 1 - Trading'!D233:D284)*$D$15</f>
        <v>6037348.2307202946</v>
      </c>
      <c r="F15" s="95">
        <f>SUM('12.Facility 1 - Trading'!E233:E284)*$D$15</f>
        <v>7395751.5826323619</v>
      </c>
      <c r="G15" s="95">
        <f>SUM('12.Facility 1 - Trading'!F233:F284)*$D$15</f>
        <v>8874901.8991588335</v>
      </c>
      <c r="H15" s="95">
        <f>SUM('12.Facility 1 - Trading'!G233:G284)*$D$15</f>
        <v>10483477.868381372</v>
      </c>
      <c r="I15" s="95">
        <f>SUM('12.Facility 1 - Trading'!H233:H284)*$D$15</f>
        <v>12230724.179778272</v>
      </c>
      <c r="J15" s="95">
        <f>SUM('12.Facility 1 - Trading'!I233:I284)*$D$15</f>
        <v>14126486.427643903</v>
      </c>
      <c r="K15" s="95">
        <f>SUM('12.Facility 1 - Trading'!J233:J284)*$D$15</f>
        <v>16181248.089846654</v>
      </c>
      <c r="L15" s="93"/>
      <c r="M15" s="93"/>
      <c r="N15" s="242" t="s">
        <v>368</v>
      </c>
      <c r="O15" s="246">
        <f>SUM(O7:O12)</f>
        <v>101.875</v>
      </c>
      <c r="P15" s="246">
        <f>SUM(P7:P12)</f>
        <v>101.875</v>
      </c>
      <c r="Q15" s="246">
        <f>SUM(Q7:Q12)</f>
        <v>116.875</v>
      </c>
      <c r="R15" s="246">
        <f>SUM(R7:R12)</f>
        <v>111.875</v>
      </c>
      <c r="U15" s="242" t="s">
        <v>1</v>
      </c>
      <c r="V15" s="246">
        <f>SUM(V7:V14)</f>
        <v>0</v>
      </c>
    </row>
    <row r="16" spans="3:22">
      <c r="C16" s="94" t="str">
        <f>C7</f>
        <v>Grain Processing-Cleaning, Grading &amp; Sorting</v>
      </c>
      <c r="D16" s="266">
        <v>0.2</v>
      </c>
      <c r="E16" s="95">
        <f>SUM('13.Facility 2 Grain Processing'!D155:D163)*$D$16</f>
        <v>24286.7017935</v>
      </c>
      <c r="F16" s="95">
        <f>SUM('13.Facility 2 Grain Processing'!E155:E163)*$D$16</f>
        <v>38251.555324762514</v>
      </c>
      <c r="G16" s="95">
        <f>SUM('13.Facility 2 Grain Processing'!F155:F163)*$D$16</f>
        <v>53552.177454667508</v>
      </c>
      <c r="H16" s="95">
        <f>SUM('13.Facility 2 Grain Processing'!G155:G163)*$D$16</f>
        <v>70287.232909251106</v>
      </c>
      <c r="I16" s="95">
        <f>SUM('13.Facility 2 Grain Processing'!H155:H163)*$D$16</f>
        <v>88561.913465656398</v>
      </c>
      <c r="J16" s="95">
        <f>SUM('13.Facility 2 Grain Processing'!I155:I163)*$D$16</f>
        <v>108488.3439954291</v>
      </c>
      <c r="K16" s="95">
        <f>SUM('13.Facility 2 Grain Processing'!J155:J163)*$D$16</f>
        <v>130186.01279451489</v>
      </c>
      <c r="L16" s="93"/>
      <c r="M16" s="93"/>
    </row>
    <row r="17" spans="1:18">
      <c r="C17" s="94" t="s">
        <v>519</v>
      </c>
      <c r="D17" s="266">
        <v>0</v>
      </c>
      <c r="E17" s="95">
        <f>SUM('17.Facility 6 Horti Processing '!D163:D168)*$D$17</f>
        <v>0</v>
      </c>
      <c r="F17" s="95">
        <f>SUM('17.Facility 6 Horti Processing '!E163:E168)*$D$17</f>
        <v>0</v>
      </c>
      <c r="G17" s="95">
        <f>SUM('17.Facility 6 Horti Processing '!F163:F168)*$D$17</f>
        <v>0</v>
      </c>
      <c r="H17" s="95">
        <f>SUM('17.Facility 6 Horti Processing '!G163:G168)*$D$17</f>
        <v>0</v>
      </c>
      <c r="I17" s="95">
        <f>SUM('17.Facility 6 Horti Processing '!H163:H168)*$D$17</f>
        <v>0</v>
      </c>
      <c r="J17" s="95">
        <f>SUM('17.Facility 6 Horti Processing '!I163:I168)*$D$17</f>
        <v>0</v>
      </c>
      <c r="K17" s="95">
        <f>SUM('17.Facility 6 Horti Processing '!J163:J168)*$D$17</f>
        <v>0</v>
      </c>
      <c r="L17" s="93"/>
      <c r="M17" s="93"/>
    </row>
    <row r="18" spans="1:18">
      <c r="C18" s="94"/>
      <c r="D18" s="239"/>
      <c r="E18" s="95"/>
      <c r="F18" s="95"/>
      <c r="G18" s="95"/>
      <c r="H18" s="95"/>
      <c r="I18" s="95"/>
      <c r="J18" s="95"/>
      <c r="K18" s="95"/>
      <c r="L18" s="93"/>
      <c r="M18" s="93"/>
    </row>
    <row r="19" spans="1:18">
      <c r="C19" s="94"/>
      <c r="D19" s="94"/>
      <c r="E19" s="94"/>
      <c r="F19" s="95"/>
      <c r="G19" s="95"/>
      <c r="H19" s="95"/>
      <c r="I19" s="95"/>
      <c r="J19" s="95"/>
      <c r="K19" s="95"/>
      <c r="L19" s="93"/>
      <c r="M19" s="93"/>
    </row>
    <row r="20" spans="1:18">
      <c r="C20" s="94" t="s">
        <v>1</v>
      </c>
      <c r="D20" s="94"/>
      <c r="E20" s="202">
        <f t="shared" ref="E20:K20" si="7">SUM(E14:E19)</f>
        <v>6061634.9325137949</v>
      </c>
      <c r="F20" s="95">
        <f t="shared" si="7"/>
        <v>7434003.137957124</v>
      </c>
      <c r="G20" s="95">
        <f t="shared" si="7"/>
        <v>8928454.0766135007</v>
      </c>
      <c r="H20" s="95">
        <f t="shared" si="7"/>
        <v>10553765.101290623</v>
      </c>
      <c r="I20" s="95">
        <f t="shared" si="7"/>
        <v>12319286.093243929</v>
      </c>
      <c r="J20" s="95">
        <f t="shared" si="7"/>
        <v>14234974.771639332</v>
      </c>
      <c r="K20" s="95">
        <f t="shared" si="7"/>
        <v>16311434.102641169</v>
      </c>
      <c r="L20" s="93"/>
      <c r="M20" s="93"/>
    </row>
    <row r="21" spans="1:18" ht="41.1" customHeight="1">
      <c r="A21" s="426" t="s">
        <v>419</v>
      </c>
      <c r="B21" s="426"/>
      <c r="C21" s="426"/>
      <c r="D21" s="426"/>
      <c r="E21" s="426"/>
      <c r="F21" s="426"/>
      <c r="G21" s="426"/>
      <c r="H21" s="426"/>
      <c r="I21" s="426"/>
      <c r="J21" s="426"/>
      <c r="K21" s="426"/>
      <c r="L21" s="327"/>
      <c r="M21" s="327"/>
      <c r="N21" s="327"/>
      <c r="O21" s="276"/>
      <c r="P21" s="276"/>
      <c r="Q21" s="276"/>
      <c r="R21" s="276"/>
    </row>
    <row r="22" spans="1:18">
      <c r="A22" t="s">
        <v>536</v>
      </c>
    </row>
    <row r="23" spans="1:18">
      <c r="A23">
        <v>1</v>
      </c>
      <c r="B23" t="s">
        <v>539</v>
      </c>
    </row>
    <row r="24" spans="1:18" ht="18.75">
      <c r="B24" s="414" t="s">
        <v>553</v>
      </c>
      <c r="C24" s="414"/>
      <c r="D24" s="414"/>
      <c r="E24" s="414"/>
      <c r="F24" s="414"/>
      <c r="G24" s="414"/>
      <c r="H24" s="414"/>
      <c r="I24" s="414"/>
      <c r="J24" s="414"/>
      <c r="K24" s="414"/>
    </row>
    <row r="25" spans="1:18">
      <c r="B25" s="439" t="s">
        <v>144</v>
      </c>
      <c r="C25" s="439" t="s">
        <v>0</v>
      </c>
      <c r="D25" s="442" t="s">
        <v>364</v>
      </c>
      <c r="E25" s="444" t="s">
        <v>156</v>
      </c>
      <c r="F25" s="445"/>
      <c r="G25" s="445"/>
      <c r="H25" s="445"/>
      <c r="I25" s="445"/>
      <c r="J25" s="445"/>
      <c r="K25" s="445"/>
    </row>
    <row r="26" spans="1:18">
      <c r="B26" s="439"/>
      <c r="C26" s="439"/>
      <c r="D26" s="443"/>
      <c r="E26" s="214" t="s">
        <v>2</v>
      </c>
      <c r="F26" s="214" t="s">
        <v>3</v>
      </c>
      <c r="G26" s="214" t="s">
        <v>4</v>
      </c>
      <c r="H26" s="214" t="s">
        <v>5</v>
      </c>
      <c r="I26" s="214" t="s">
        <v>6</v>
      </c>
      <c r="J26" s="214" t="s">
        <v>167</v>
      </c>
      <c r="K26" s="214" t="s">
        <v>166</v>
      </c>
    </row>
    <row r="27" spans="1:18">
      <c r="B27" s="217"/>
      <c r="C27" s="218"/>
      <c r="D27" s="218"/>
      <c r="E27" s="219"/>
      <c r="F27" s="219"/>
      <c r="G27" s="219"/>
      <c r="H27" s="219"/>
      <c r="I27" s="219"/>
      <c r="J27" s="219"/>
      <c r="K27" s="219"/>
    </row>
    <row r="28" spans="1:18" ht="28.5">
      <c r="B28" s="220" t="s">
        <v>171</v>
      </c>
      <c r="C28" s="221" t="s">
        <v>346</v>
      </c>
      <c r="D28" s="232"/>
      <c r="E28" s="222"/>
      <c r="F28" s="222"/>
      <c r="G28" s="222"/>
      <c r="H28" s="222"/>
      <c r="I28" s="222"/>
      <c r="J28" s="222"/>
      <c r="K28" s="222"/>
    </row>
    <row r="29" spans="1:18">
      <c r="B29" s="262">
        <v>1</v>
      </c>
      <c r="C29" s="223" t="s">
        <v>366</v>
      </c>
      <c r="D29" s="232">
        <v>0</v>
      </c>
      <c r="E29" s="222">
        <f>('16.Facility 5 Agri Input'!D191/365)*$D$29</f>
        <v>0</v>
      </c>
      <c r="F29" s="222">
        <f>('16.Facility 5 Agri Input'!E191/365)*$D$29</f>
        <v>0</v>
      </c>
      <c r="G29" s="222">
        <f>('16.Facility 5 Agri Input'!F191/365)*$D$29</f>
        <v>0</v>
      </c>
      <c r="H29" s="222">
        <f>('16.Facility 5 Agri Input'!G191/365)*$D$29</f>
        <v>0</v>
      </c>
      <c r="I29" s="222">
        <f>('16.Facility 5 Agri Input'!H191/365)*$D$29</f>
        <v>0</v>
      </c>
      <c r="J29" s="222">
        <f>('16.Facility 5 Agri Input'!I191/365)*$D$29</f>
        <v>0</v>
      </c>
      <c r="K29" s="222">
        <f>('16.Facility 5 Agri Input'!J191/365)*$D$29</f>
        <v>0</v>
      </c>
    </row>
    <row r="30" spans="1:18">
      <c r="B30" s="262">
        <v>2</v>
      </c>
      <c r="C30" s="223" t="s">
        <v>362</v>
      </c>
      <c r="D30" s="232">
        <v>0</v>
      </c>
      <c r="E30" s="222">
        <f>('15. Facility 4 Custom Hiring'!E39/365)*$D$30</f>
        <v>0</v>
      </c>
      <c r="F30" s="222">
        <f>('15. Facility 4 Custom Hiring'!F39/365)*$D$30</f>
        <v>0</v>
      </c>
      <c r="G30" s="222">
        <f>('15. Facility 4 Custom Hiring'!G39/365)*$D$30</f>
        <v>0</v>
      </c>
      <c r="H30" s="222">
        <f>('15. Facility 4 Custom Hiring'!H39/365)*$D$30</f>
        <v>0</v>
      </c>
      <c r="I30" s="222">
        <f>('15. Facility 4 Custom Hiring'!I39/365)*$D$30</f>
        <v>0</v>
      </c>
      <c r="J30" s="222">
        <f>('15. Facility 4 Custom Hiring'!J39/365)*$D$30</f>
        <v>0</v>
      </c>
      <c r="K30" s="222">
        <f>('15. Facility 4 Custom Hiring'!K39/365)*$D$30</f>
        <v>0</v>
      </c>
    </row>
    <row r="31" spans="1:18">
      <c r="B31" s="262">
        <v>3</v>
      </c>
      <c r="C31" s="223" t="s">
        <v>688</v>
      </c>
      <c r="D31" s="232">
        <v>25</v>
      </c>
      <c r="E31" s="222">
        <f>('12.Facility 1 - Trading'!D229/365)*$D$31</f>
        <v>2077777.6261890412</v>
      </c>
      <c r="F31" s="222">
        <f>('12.Facility 1 - Trading'!E229/365)*$D$31</f>
        <v>3088643.2940323981</v>
      </c>
      <c r="G31" s="222">
        <f>('12.Facility 1 - Trading'!F229/365)*$D$31</f>
        <v>3719956.0953876479</v>
      </c>
      <c r="H31" s="222">
        <f>('12.Facility 1 - Trading'!G229/365)*$D$31</f>
        <v>4406678.5686433427</v>
      </c>
      <c r="I31" s="222">
        <f>('12.Facility 1 - Trading'!H229/365)*$D$31</f>
        <v>5152773.3989861375</v>
      </c>
      <c r="J31" s="222">
        <f>('12.Facility 1 - Trading'!I229/365)*$D$31</f>
        <v>5962461.0159416031</v>
      </c>
      <c r="K31" s="222">
        <f>('12.Facility 1 - Trading'!J229/365)*$D$31</f>
        <v>6840235.4610951515</v>
      </c>
    </row>
    <row r="32" spans="1:18">
      <c r="B32" s="262">
        <v>4</v>
      </c>
      <c r="C32" s="223" t="s">
        <v>689</v>
      </c>
      <c r="D32" s="232">
        <v>25</v>
      </c>
      <c r="E32" s="222">
        <f>('13.Facility 2 Grain Processing'!D151/365)*$D$32</f>
        <v>69291.360399452067</v>
      </c>
      <c r="F32" s="222">
        <f>('13.Facility 2 Grain Processing'!E151/365)*$D$32</f>
        <v>110648.94440436987</v>
      </c>
      <c r="G32" s="222">
        <f>('13.Facility 2 Grain Processing'!F151/365)*$D$32</f>
        <v>155173.65622678358</v>
      </c>
      <c r="H32" s="222">
        <f>('13.Facility 2 Grain Processing'!G151/365)*$D$32</f>
        <v>203874.21687042777</v>
      </c>
      <c r="I32" s="222">
        <f>('13.Facility 2 Grain Processing'!H151/365)*$D$32</f>
        <v>257056.89943786938</v>
      </c>
      <c r="J32" s="222">
        <f>('13.Facility 2 Grain Processing'!I151/365)*$D$32</f>
        <v>315048.16471987905</v>
      </c>
      <c r="K32" s="222">
        <f>('13.Facility 2 Grain Processing'!J151/365)*$D$32</f>
        <v>378195.91428149509</v>
      </c>
    </row>
    <row r="33" spans="2:11">
      <c r="B33" s="262">
        <v>5</v>
      </c>
      <c r="C33" s="223" t="s">
        <v>300</v>
      </c>
      <c r="D33" s="232">
        <v>25</v>
      </c>
      <c r="E33" s="222">
        <f>('14. Facility 3 Warehouse'!D23/365)*$D$33</f>
        <v>266301.36986301368</v>
      </c>
      <c r="F33" s="222">
        <f>('14. Facility 3 Warehouse'!E23/365)*$D$33</f>
        <v>297092.46575342474</v>
      </c>
      <c r="G33" s="222">
        <f>('14. Facility 3 Warehouse'!F23/365)*$D$33</f>
        <v>330296.91780821921</v>
      </c>
      <c r="H33" s="222">
        <f>('14. Facility 3 Warehouse'!G23/365)*$D$33</f>
        <v>366079.08390410972</v>
      </c>
      <c r="I33" s="222">
        <f>('14. Facility 3 Warehouse'!H23/365)*$D$33</f>
        <v>404613.72431506863</v>
      </c>
      <c r="J33" s="222">
        <f>('14. Facility 3 Warehouse'!I23/365)*$D$33</f>
        <v>424844.41053082212</v>
      </c>
      <c r="K33" s="222">
        <f>('14. Facility 3 Warehouse'!J23/365)*$D$33</f>
        <v>446086.63105736324</v>
      </c>
    </row>
    <row r="34" spans="2:11" ht="30">
      <c r="B34" s="262">
        <v>6</v>
      </c>
      <c r="C34" s="223" t="s">
        <v>531</v>
      </c>
      <c r="D34" s="232">
        <v>0</v>
      </c>
      <c r="E34" s="222">
        <f>('17.Facility 6 Horti Processing '!D159/365)*$D$34</f>
        <v>0</v>
      </c>
      <c r="F34" s="222">
        <f>('17.Facility 6 Horti Processing '!E159/365)*$D$34</f>
        <v>0</v>
      </c>
      <c r="G34" s="222">
        <f>('17.Facility 6 Horti Processing '!F159/365)*$D$34</f>
        <v>0</v>
      </c>
      <c r="H34" s="222">
        <f>('17.Facility 6 Horti Processing '!G159/365)*$D$34</f>
        <v>0</v>
      </c>
      <c r="I34" s="222">
        <f>('17.Facility 6 Horti Processing '!H159/365)*$D$34</f>
        <v>0</v>
      </c>
      <c r="J34" s="222">
        <f>('17.Facility 6 Horti Processing '!I159/365)*$D$34</f>
        <v>0</v>
      </c>
      <c r="K34" s="222">
        <f>('17.Facility 6 Horti Processing '!J159/365)*$D$34</f>
        <v>0</v>
      </c>
    </row>
    <row r="35" spans="2:11">
      <c r="B35" s="262"/>
      <c r="C35" s="223"/>
      <c r="D35" s="232"/>
      <c r="E35" s="222"/>
      <c r="F35" s="222"/>
      <c r="G35" s="222"/>
      <c r="H35" s="222"/>
      <c r="I35" s="222"/>
      <c r="J35" s="222"/>
      <c r="K35" s="222"/>
    </row>
    <row r="36" spans="2:11">
      <c r="B36" s="252"/>
      <c r="C36" s="221" t="s">
        <v>169</v>
      </c>
      <c r="D36" s="232"/>
      <c r="E36" s="222">
        <f>SUM(E29:E35)</f>
        <v>2413370.3564515072</v>
      </c>
      <c r="F36" s="222">
        <f t="shared" ref="F36:K36" si="8">SUM(F29:F35)</f>
        <v>3496384.7041901927</v>
      </c>
      <c r="G36" s="222">
        <f t="shared" si="8"/>
        <v>4205426.6694226507</v>
      </c>
      <c r="H36" s="222">
        <f t="shared" si="8"/>
        <v>4976631.8694178807</v>
      </c>
      <c r="I36" s="222">
        <f t="shared" si="8"/>
        <v>5814444.0227390751</v>
      </c>
      <c r="J36" s="222">
        <f t="shared" si="8"/>
        <v>6702353.5911923042</v>
      </c>
      <c r="K36" s="222">
        <f t="shared" si="8"/>
        <v>7664518.0064340094</v>
      </c>
    </row>
    <row r="37" spans="2:11">
      <c r="B37" s="220" t="s">
        <v>172</v>
      </c>
      <c r="C37" s="221" t="s">
        <v>345</v>
      </c>
      <c r="D37" s="232"/>
      <c r="E37" s="222">
        <f>'5.Closing Stock &amp; W Capital'!E20</f>
        <v>6061634.9325137949</v>
      </c>
      <c r="F37" s="222">
        <f>'5.Closing Stock &amp; W Capital'!F20</f>
        <v>7434003.137957124</v>
      </c>
      <c r="G37" s="222">
        <f>'5.Closing Stock &amp; W Capital'!G20</f>
        <v>8928454.0766135007</v>
      </c>
      <c r="H37" s="222">
        <f>'5.Closing Stock &amp; W Capital'!H20</f>
        <v>10553765.101290623</v>
      </c>
      <c r="I37" s="222">
        <f>'5.Closing Stock &amp; W Capital'!I20</f>
        <v>12319286.093243929</v>
      </c>
      <c r="J37" s="222">
        <f>'5.Closing Stock &amp; W Capital'!J20</f>
        <v>14234974.771639332</v>
      </c>
      <c r="K37" s="222">
        <f>'5.Closing Stock &amp; W Capital'!K20</f>
        <v>16311434.102641169</v>
      </c>
    </row>
    <row r="38" spans="2:11">
      <c r="B38" s="220"/>
      <c r="C38" s="223"/>
      <c r="D38" s="232"/>
      <c r="E38" s="222"/>
      <c r="F38" s="222"/>
      <c r="G38" s="222"/>
      <c r="H38" s="222"/>
      <c r="I38" s="222"/>
      <c r="J38" s="222"/>
      <c r="K38" s="222"/>
    </row>
    <row r="39" spans="2:11">
      <c r="B39" s="440" t="s">
        <v>1</v>
      </c>
      <c r="C39" s="441"/>
      <c r="D39" s="238"/>
      <c r="E39" s="224">
        <f>SUM(E36:E37)</f>
        <v>8475005.2889653016</v>
      </c>
      <c r="F39" s="224">
        <f t="shared" ref="F39:K39" si="9">SUM(F36:F37)</f>
        <v>10930387.842147317</v>
      </c>
      <c r="G39" s="224">
        <f t="shared" si="9"/>
        <v>13133880.746036151</v>
      </c>
      <c r="H39" s="224">
        <f t="shared" si="9"/>
        <v>15530396.970708504</v>
      </c>
      <c r="I39" s="224">
        <f t="shared" si="9"/>
        <v>18133730.115983002</v>
      </c>
      <c r="J39" s="224">
        <f t="shared" si="9"/>
        <v>20937328.362831637</v>
      </c>
      <c r="K39" s="224">
        <f t="shared" si="9"/>
        <v>23975952.109075177</v>
      </c>
    </row>
    <row r="40" spans="2:11">
      <c r="B40" s="220"/>
      <c r="C40" s="221"/>
      <c r="D40" s="232"/>
      <c r="E40" s="222"/>
      <c r="F40" s="222"/>
      <c r="G40" s="222"/>
      <c r="H40" s="222"/>
      <c r="I40" s="222"/>
      <c r="J40" s="222"/>
      <c r="K40" s="222"/>
    </row>
    <row r="41" spans="2:11" ht="34.5" customHeight="1">
      <c r="B41" s="220" t="s">
        <v>173</v>
      </c>
      <c r="C41" s="223" t="s">
        <v>347</v>
      </c>
      <c r="D41" s="232"/>
      <c r="E41" s="222"/>
      <c r="F41" s="222"/>
      <c r="G41" s="222"/>
      <c r="H41" s="222"/>
      <c r="I41" s="222"/>
      <c r="J41" s="222"/>
      <c r="K41" s="222"/>
    </row>
    <row r="42" spans="2:11">
      <c r="B42" s="262">
        <v>1</v>
      </c>
      <c r="C42" s="223" t="str">
        <f t="shared" ref="C42:C47" si="10">C29</f>
        <v>Agri Input</v>
      </c>
      <c r="D42" s="232">
        <v>0</v>
      </c>
      <c r="E42" s="222">
        <f>('16.Facility 5 Agri Input'!D262/365)*$D$42</f>
        <v>0</v>
      </c>
      <c r="F42" s="222">
        <f>('16.Facility 5 Agri Input'!E262/365)*$D$42</f>
        <v>0</v>
      </c>
      <c r="G42" s="222">
        <f>('16.Facility 5 Agri Input'!F262/365)*$D$42</f>
        <v>0</v>
      </c>
      <c r="H42" s="222">
        <f>('16.Facility 5 Agri Input'!G262/365)*$D$42</f>
        <v>0</v>
      </c>
      <c r="I42" s="222">
        <f>('16.Facility 5 Agri Input'!H262/365)*$D$42</f>
        <v>0</v>
      </c>
      <c r="J42" s="222">
        <f>('16.Facility 5 Agri Input'!I262/365)*$D$42</f>
        <v>0</v>
      </c>
      <c r="K42" s="222">
        <f>('16.Facility 5 Agri Input'!J262/365)*$D$42</f>
        <v>0</v>
      </c>
    </row>
    <row r="43" spans="2:11">
      <c r="B43" s="262">
        <v>2</v>
      </c>
      <c r="C43" s="223" t="str">
        <f t="shared" si="10"/>
        <v>Custom Hiring</v>
      </c>
      <c r="D43" s="232">
        <v>0</v>
      </c>
      <c r="E43" s="222">
        <f>('15. Facility 4 Custom Hiring'!E49/365)*$D$44</f>
        <v>0</v>
      </c>
      <c r="F43" s="222">
        <f>('15. Facility 4 Custom Hiring'!F49/365)*$D$44</f>
        <v>0</v>
      </c>
      <c r="G43" s="222">
        <f>('15. Facility 4 Custom Hiring'!G49/365)*$D$44</f>
        <v>0</v>
      </c>
      <c r="H43" s="222">
        <f>('15. Facility 4 Custom Hiring'!H49/365)*$D$44</f>
        <v>0</v>
      </c>
      <c r="I43" s="222">
        <f>('15. Facility 4 Custom Hiring'!I49/365)*$D$44</f>
        <v>0</v>
      </c>
      <c r="J43" s="222">
        <f>('15. Facility 4 Custom Hiring'!J49/365)*$D$44</f>
        <v>0</v>
      </c>
      <c r="K43" s="222">
        <f>('15. Facility 4 Custom Hiring'!K49/365)*$D$44</f>
        <v>0</v>
      </c>
    </row>
    <row r="44" spans="2:11">
      <c r="B44" s="262">
        <v>3</v>
      </c>
      <c r="C44" s="223" t="str">
        <f t="shared" si="10"/>
        <v>Trading Activity</v>
      </c>
      <c r="D44" s="232">
        <v>25</v>
      </c>
      <c r="E44" s="222">
        <f>('12.Facility 1 - Trading'!D292/365)*$D$44</f>
        <v>1667709.5890525463</v>
      </c>
      <c r="F44" s="222">
        <f>('12.Facility 1 - Trading'!E292/365)*$D$44</f>
        <v>2456461.2486934997</v>
      </c>
      <c r="G44" s="222">
        <f>('12.Facility 1 - Trading'!F292/365)*$D$44</f>
        <v>2958091.4234848022</v>
      </c>
      <c r="H44" s="222">
        <f>('12.Facility 1 - Trading'!G292/365)*$D$44</f>
        <v>3503743.4626335017</v>
      </c>
      <c r="I44" s="222">
        <f>('12.Facility 1 - Trading'!H292/365)*$D$44</f>
        <v>4096565.477138361</v>
      </c>
      <c r="J44" s="222">
        <f>('12.Facility 1 - Trading'!I292/365)*$D$44</f>
        <v>4739910.3344371198</v>
      </c>
      <c r="K44" s="222">
        <f>('12.Facility 1 - Trading'!J292/365)*$D$44</f>
        <v>5437348.2637729114</v>
      </c>
    </row>
    <row r="45" spans="2:11">
      <c r="B45" s="262">
        <v>4</v>
      </c>
      <c r="C45" s="223" t="str">
        <f t="shared" si="10"/>
        <v>Cleaning, Grading &amp; Sorting</v>
      </c>
      <c r="D45" s="232">
        <v>25</v>
      </c>
      <c r="E45" s="222">
        <f>('13.Facility 2 Grain Processing'!D172/365)*$D$45</f>
        <v>8644.5303324657525</v>
      </c>
      <c r="F45" s="222">
        <f>('13.Facility 2 Grain Processing'!E172/365)*$D$45</f>
        <v>15278.607999215759</v>
      </c>
      <c r="G45" s="222">
        <f>('13.Facility 2 Grain Processing'!F172/365)*$D$45</f>
        <v>21681.158925878943</v>
      </c>
      <c r="H45" s="222">
        <f>('13.Facility 2 Grain Processing'!G172/365)*$D$45</f>
        <v>28685.768425210408</v>
      </c>
      <c r="I45" s="222">
        <f>('13.Facility 2 Grain Processing'!H172/365)*$D$45</f>
        <v>36336.635977160331</v>
      </c>
      <c r="J45" s="222">
        <f>('13.Facility 2 Grain Processing'!I172/365)*$D$45</f>
        <v>44680.875863242203</v>
      </c>
      <c r="K45" s="222">
        <f>('13.Facility 2 Grain Processing'!J172/365)*$D$45</f>
        <v>53768.698147989366</v>
      </c>
    </row>
    <row r="46" spans="2:11">
      <c r="B46" s="262">
        <v>5</v>
      </c>
      <c r="C46" s="223" t="str">
        <f t="shared" si="10"/>
        <v>Warehouse</v>
      </c>
      <c r="D46" s="232">
        <v>25</v>
      </c>
      <c r="E46" s="222">
        <f>('14. Facility 3 Warehouse'!D34/365)*$D$46</f>
        <v>20054.794520547948</v>
      </c>
      <c r="F46" s="222">
        <f>('14. Facility 3 Warehouse'!E34/365)*$D$46</f>
        <v>21057.534246575342</v>
      </c>
      <c r="G46" s="222">
        <f>('14. Facility 3 Warehouse'!F34/365)*$D$46</f>
        <v>22110.410958904107</v>
      </c>
      <c r="H46" s="222">
        <f>('14. Facility 3 Warehouse'!G34/365)*$D$46</f>
        <v>23215.93150684932</v>
      </c>
      <c r="I46" s="222">
        <f>('14. Facility 3 Warehouse'!H34/365)*$D$46</f>
        <v>24376.728082191785</v>
      </c>
      <c r="J46" s="222">
        <f>('14. Facility 3 Warehouse'!I34/365)*$D$46</f>
        <v>25595.564486301373</v>
      </c>
      <c r="K46" s="222">
        <f>('14. Facility 3 Warehouse'!J34/365)*$D$46</f>
        <v>26875.342710616453</v>
      </c>
    </row>
    <row r="47" spans="2:11" ht="30">
      <c r="B47" s="262"/>
      <c r="C47" s="223" t="str">
        <f t="shared" si="10"/>
        <v>Processing Unit - Horti Commodity</v>
      </c>
      <c r="D47" s="232">
        <v>0</v>
      </c>
      <c r="E47" s="222">
        <f>('17.Facility 6 Horti Processing '!D177/365)*$D$47</f>
        <v>0</v>
      </c>
      <c r="F47" s="222">
        <f>('17.Facility 6 Horti Processing '!E177/365)*$D$47</f>
        <v>0</v>
      </c>
      <c r="G47" s="222">
        <f>('17.Facility 6 Horti Processing '!F177/365)*$D$47</f>
        <v>0</v>
      </c>
      <c r="H47" s="222">
        <f>('17.Facility 6 Horti Processing '!G177/365)*$D$47</f>
        <v>0</v>
      </c>
      <c r="I47" s="222">
        <f>('17.Facility 6 Horti Processing '!H177/365)*$D$47</f>
        <v>0</v>
      </c>
      <c r="J47" s="222">
        <f>('17.Facility 6 Horti Processing '!I177/365)*$D$47</f>
        <v>0</v>
      </c>
      <c r="K47" s="222">
        <f>('17.Facility 6 Horti Processing '!J177/365)*$D$47</f>
        <v>0</v>
      </c>
    </row>
    <row r="48" spans="2:11">
      <c r="B48" s="262"/>
      <c r="C48" s="223"/>
      <c r="D48" s="232"/>
      <c r="E48" s="222"/>
      <c r="F48" s="222"/>
      <c r="G48" s="222"/>
      <c r="H48" s="222"/>
      <c r="I48" s="222"/>
      <c r="J48" s="222"/>
      <c r="K48" s="222"/>
    </row>
    <row r="49" spans="1:12">
      <c r="B49" s="215"/>
      <c r="C49" s="221" t="s">
        <v>1</v>
      </c>
      <c r="D49" s="232"/>
      <c r="E49" s="224">
        <f>SUM(E42:E48)</f>
        <v>1696408.9139055598</v>
      </c>
      <c r="F49" s="224">
        <f t="shared" ref="F49:K49" si="11">SUM(F42:F48)</f>
        <v>2492797.3909392911</v>
      </c>
      <c r="G49" s="224">
        <f t="shared" si="11"/>
        <v>3001882.9933695854</v>
      </c>
      <c r="H49" s="224">
        <f t="shared" si="11"/>
        <v>3555645.1625655615</v>
      </c>
      <c r="I49" s="224">
        <f t="shared" si="11"/>
        <v>4157278.8411977128</v>
      </c>
      <c r="J49" s="224">
        <f t="shared" si="11"/>
        <v>4810186.7747866632</v>
      </c>
      <c r="K49" s="224">
        <f t="shared" si="11"/>
        <v>5517992.3046315173</v>
      </c>
    </row>
    <row r="50" spans="1:12">
      <c r="B50" s="220" t="s">
        <v>174</v>
      </c>
      <c r="C50" s="221" t="s">
        <v>154</v>
      </c>
      <c r="D50" s="232"/>
      <c r="E50" s="224">
        <f>E39-E49</f>
        <v>6778596.3750597415</v>
      </c>
      <c r="F50" s="224">
        <f t="shared" ref="F50:K50" si="12">F39-F49</f>
        <v>8437590.4512080252</v>
      </c>
      <c r="G50" s="224">
        <f t="shared" si="12"/>
        <v>10131997.752666567</v>
      </c>
      <c r="H50" s="224">
        <f t="shared" si="12"/>
        <v>11974751.808142943</v>
      </c>
      <c r="I50" s="224">
        <f t="shared" si="12"/>
        <v>13976451.27478529</v>
      </c>
      <c r="J50" s="224">
        <f t="shared" si="12"/>
        <v>16127141.588044975</v>
      </c>
      <c r="K50" s="224">
        <f t="shared" si="12"/>
        <v>18457959.804443661</v>
      </c>
    </row>
    <row r="51" spans="1:12">
      <c r="B51" s="220"/>
      <c r="C51" s="221" t="s">
        <v>134</v>
      </c>
      <c r="D51" s="271">
        <v>0.1</v>
      </c>
      <c r="E51" s="224">
        <f>E50*$D$51</f>
        <v>677859.63750597415</v>
      </c>
      <c r="F51" s="224"/>
      <c r="G51" s="224"/>
      <c r="H51" s="224"/>
      <c r="I51" s="224"/>
      <c r="J51" s="224"/>
      <c r="K51" s="224"/>
    </row>
    <row r="53" spans="1:12">
      <c r="E53" s="29"/>
    </row>
    <row r="54" spans="1:12" ht="36.950000000000003" customHeight="1">
      <c r="A54" s="437" t="s">
        <v>414</v>
      </c>
      <c r="B54" s="438"/>
      <c r="C54" s="438"/>
      <c r="D54" s="438"/>
      <c r="E54" s="438"/>
      <c r="F54" s="438"/>
      <c r="G54" s="438"/>
      <c r="H54" s="438"/>
      <c r="I54" s="438"/>
      <c r="J54" s="438"/>
      <c r="K54" s="438"/>
      <c r="L54" s="438"/>
    </row>
    <row r="55" spans="1:12">
      <c r="A55" t="s">
        <v>540</v>
      </c>
    </row>
    <row r="56" spans="1:12">
      <c r="A56">
        <v>1</v>
      </c>
      <c r="B56" t="s">
        <v>691</v>
      </c>
    </row>
    <row r="57" spans="1:12">
      <c r="A57">
        <v>2</v>
      </c>
      <c r="B57" t="s">
        <v>692</v>
      </c>
    </row>
    <row r="58" spans="1:12">
      <c r="A58">
        <v>3</v>
      </c>
      <c r="B58" t="s">
        <v>541</v>
      </c>
    </row>
  </sheetData>
  <mergeCells count="13">
    <mergeCell ref="N5:R5"/>
    <mergeCell ref="U4:V4"/>
    <mergeCell ref="U5:V5"/>
    <mergeCell ref="C2:K2"/>
    <mergeCell ref="A21:K21"/>
    <mergeCell ref="N4:R4"/>
    <mergeCell ref="A54:L54"/>
    <mergeCell ref="B24:K24"/>
    <mergeCell ref="B25:B26"/>
    <mergeCell ref="C25:C26"/>
    <mergeCell ref="B39:C39"/>
    <mergeCell ref="D25:D26"/>
    <mergeCell ref="E25:K25"/>
  </mergeCells>
  <pageMargins left="0.70866141732283472" right="0.70866141732283472" top="0.74803149606299213" bottom="0.74803149606299213" header="0.31496062992125984" footer="0.31496062992125984"/>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3"/>
  <sheetViews>
    <sheetView view="pageBreakPreview" zoomScale="80" zoomScaleSheetLayoutView="80" workbookViewId="0">
      <selection activeCell="H19" sqref="H19"/>
    </sheetView>
  </sheetViews>
  <sheetFormatPr defaultRowHeight="15"/>
  <cols>
    <col min="1" max="1" width="40.5703125" bestFit="1" customWidth="1"/>
    <col min="2" max="2" width="17.7109375" customWidth="1"/>
    <col min="3" max="3" width="16.5703125" customWidth="1"/>
    <col min="4" max="4" width="16.85546875" customWidth="1"/>
    <col min="5" max="5" width="17" customWidth="1"/>
    <col min="6" max="6" width="17.5703125" customWidth="1"/>
    <col min="7" max="7" width="17.85546875" customWidth="1"/>
    <col min="8" max="8" width="16.85546875" customWidth="1"/>
    <col min="9" max="9" width="8.5703125" customWidth="1"/>
    <col min="10" max="10" width="10.140625" bestFit="1" customWidth="1"/>
    <col min="11" max="11" width="9.5703125" bestFit="1" customWidth="1"/>
  </cols>
  <sheetData>
    <row r="2" spans="1:8" ht="18.75">
      <c r="A2" s="417" t="s">
        <v>706</v>
      </c>
      <c r="B2" s="417"/>
      <c r="C2" s="417"/>
      <c r="D2" s="417"/>
      <c r="E2" s="417"/>
      <c r="F2" s="417"/>
      <c r="G2" s="417"/>
      <c r="H2" s="417"/>
    </row>
    <row r="3" spans="1:8">
      <c r="A3" s="147" t="s">
        <v>0</v>
      </c>
      <c r="B3" s="119" t="s">
        <v>2</v>
      </c>
      <c r="C3" s="119" t="s">
        <v>3</v>
      </c>
      <c r="D3" s="119" t="s">
        <v>4</v>
      </c>
      <c r="E3" s="119" t="s">
        <v>5</v>
      </c>
      <c r="F3" s="119" t="s">
        <v>6</v>
      </c>
      <c r="G3" s="119" t="s">
        <v>167</v>
      </c>
      <c r="H3" s="119" t="s">
        <v>166</v>
      </c>
    </row>
    <row r="4" spans="1:8">
      <c r="A4" s="96" t="s">
        <v>127</v>
      </c>
      <c r="B4" s="94"/>
      <c r="C4" s="94"/>
      <c r="D4" s="94"/>
      <c r="E4" s="94"/>
      <c r="F4" s="94"/>
      <c r="G4" s="94"/>
      <c r="H4" s="94"/>
    </row>
    <row r="5" spans="1:8">
      <c r="A5" s="94"/>
      <c r="B5" s="94"/>
      <c r="C5" s="94"/>
      <c r="D5" s="94"/>
      <c r="E5" s="94"/>
      <c r="F5" s="94"/>
      <c r="G5" s="94"/>
      <c r="H5" s="94"/>
    </row>
    <row r="6" spans="1:8">
      <c r="A6" s="94" t="s">
        <v>693</v>
      </c>
      <c r="B6" s="95">
        <f>'12.Facility 1 - Trading'!D229</f>
        <v>30335553.342360001</v>
      </c>
      <c r="C6" s="95">
        <f>'12.Facility 1 - Trading'!E229</f>
        <v>45094192.092873015</v>
      </c>
      <c r="D6" s="95">
        <f>'12.Facility 1 - Trading'!F229</f>
        <v>54311358.992659651</v>
      </c>
      <c r="E6" s="95">
        <f>'12.Facility 1 - Trading'!G229</f>
        <v>64337507.102192797</v>
      </c>
      <c r="F6" s="95">
        <f>'12.Facility 1 - Trading'!H229</f>
        <v>75230491.625197604</v>
      </c>
      <c r="G6" s="95">
        <f>'12.Facility 1 - Trading'!I229</f>
        <v>87051930.8327474</v>
      </c>
      <c r="H6" s="95">
        <f>'12.Facility 1 - Trading'!J229</f>
        <v>99867437.731989205</v>
      </c>
    </row>
    <row r="7" spans="1:8">
      <c r="A7" s="94" t="s">
        <v>694</v>
      </c>
      <c r="B7" s="95">
        <f>'13.Facility 2 Grain Processing'!D151</f>
        <v>1011653.8618320001</v>
      </c>
      <c r="C7" s="95">
        <f>'13.Facility 2 Grain Processing'!E151</f>
        <v>1615474.5883038002</v>
      </c>
      <c r="D7" s="95">
        <f>'13.Facility 2 Grain Processing'!F151</f>
        <v>2265535.3809110401</v>
      </c>
      <c r="E7" s="95">
        <f>'13.Facility 2 Grain Processing'!G151</f>
        <v>2976563.5663082455</v>
      </c>
      <c r="F7" s="95">
        <f>'13.Facility 2 Grain Processing'!H151</f>
        <v>3753030.7317928933</v>
      </c>
      <c r="G7" s="95">
        <f>'13.Facility 2 Grain Processing'!I151</f>
        <v>4599703.2049102345</v>
      </c>
      <c r="H7" s="95">
        <f>'13.Facility 2 Grain Processing'!J151</f>
        <v>5521660.3485098286</v>
      </c>
    </row>
    <row r="8" spans="1:8">
      <c r="A8" s="94" t="s">
        <v>508</v>
      </c>
      <c r="B8" s="95">
        <f>'14. Facility 3 Warehouse'!D23</f>
        <v>3888000</v>
      </c>
      <c r="C8" s="95">
        <f>'14. Facility 3 Warehouse'!E23</f>
        <v>4337550.0000000009</v>
      </c>
      <c r="D8" s="95">
        <f>'14. Facility 3 Warehouse'!F23</f>
        <v>4822335.0000000009</v>
      </c>
      <c r="E8" s="95">
        <f>'14. Facility 3 Warehouse'!G23</f>
        <v>5344754.6250000019</v>
      </c>
      <c r="F8" s="95">
        <f>'14. Facility 3 Warehouse'!H23</f>
        <v>5907360.3750000019</v>
      </c>
      <c r="G8" s="95">
        <f>'14. Facility 3 Warehouse'!I23</f>
        <v>6202728.3937500026</v>
      </c>
      <c r="H8" s="95">
        <f>'14. Facility 3 Warehouse'!J23</f>
        <v>6512864.8134375028</v>
      </c>
    </row>
    <row r="9" spans="1:8">
      <c r="A9" s="94" t="s">
        <v>509</v>
      </c>
      <c r="B9" s="95">
        <f>'15. Facility 4 Custom Hiring'!E39</f>
        <v>0</v>
      </c>
      <c r="C9" s="95">
        <f>'15. Facility 4 Custom Hiring'!F39</f>
        <v>0</v>
      </c>
      <c r="D9" s="95">
        <f>'15. Facility 4 Custom Hiring'!G39</f>
        <v>0</v>
      </c>
      <c r="E9" s="95">
        <f>'15. Facility 4 Custom Hiring'!H39</f>
        <v>0</v>
      </c>
      <c r="F9" s="95">
        <f>'15. Facility 4 Custom Hiring'!I39</f>
        <v>0</v>
      </c>
      <c r="G9" s="95">
        <f>'15. Facility 4 Custom Hiring'!J39</f>
        <v>0</v>
      </c>
      <c r="H9" s="95">
        <f>'15. Facility 4 Custom Hiring'!K39</f>
        <v>0</v>
      </c>
    </row>
    <row r="10" spans="1:8">
      <c r="A10" s="94" t="s">
        <v>507</v>
      </c>
      <c r="B10" s="95">
        <f>'16.Facility 5 Agri Input'!D191</f>
        <v>0</v>
      </c>
      <c r="C10" s="95">
        <f>'16.Facility 5 Agri Input'!E191</f>
        <v>0</v>
      </c>
      <c r="D10" s="95">
        <f>'16.Facility 5 Agri Input'!F191</f>
        <v>0</v>
      </c>
      <c r="E10" s="95">
        <f>'16.Facility 5 Agri Input'!G191</f>
        <v>0</v>
      </c>
      <c r="F10" s="95">
        <f>'16.Facility 5 Agri Input'!H191</f>
        <v>0</v>
      </c>
      <c r="G10" s="95">
        <f>'16.Facility 5 Agri Input'!I191</f>
        <v>0</v>
      </c>
      <c r="H10" s="95">
        <f>'16.Facility 5 Agri Input'!J191</f>
        <v>0</v>
      </c>
    </row>
    <row r="11" spans="1:8">
      <c r="A11" s="94" t="s">
        <v>530</v>
      </c>
      <c r="B11" s="95">
        <f>'17.Facility 6 Horti Processing '!D159</f>
        <v>0</v>
      </c>
      <c r="C11" s="95">
        <f>'17.Facility 6 Horti Processing '!E159</f>
        <v>0</v>
      </c>
      <c r="D11" s="95">
        <f>'17.Facility 6 Horti Processing '!F159</f>
        <v>0</v>
      </c>
      <c r="E11" s="95">
        <f>'17.Facility 6 Horti Processing '!G159</f>
        <v>0</v>
      </c>
      <c r="F11" s="95">
        <f>'17.Facility 6 Horti Processing '!H159</f>
        <v>0</v>
      </c>
      <c r="G11" s="95">
        <f>'17.Facility 6 Horti Processing '!I159</f>
        <v>0</v>
      </c>
      <c r="H11" s="95">
        <f>'17.Facility 6 Horti Processing '!J159</f>
        <v>0</v>
      </c>
    </row>
    <row r="12" spans="1:8">
      <c r="A12" s="94"/>
      <c r="B12" s="95"/>
      <c r="C12" s="95"/>
      <c r="D12" s="95"/>
      <c r="E12" s="95"/>
      <c r="F12" s="95"/>
      <c r="G12" s="95"/>
      <c r="H12" s="95"/>
    </row>
    <row r="13" spans="1:8">
      <c r="A13" s="96" t="s">
        <v>142</v>
      </c>
      <c r="B13" s="114">
        <f>SUM(B6:B12)</f>
        <v>35235207.204191998</v>
      </c>
      <c r="C13" s="114">
        <f t="shared" ref="C13:H13" si="0">SUM(C6:C12)</f>
        <v>51047216.681176811</v>
      </c>
      <c r="D13" s="114">
        <f t="shared" si="0"/>
        <v>61399229.373570688</v>
      </c>
      <c r="E13" s="114">
        <f t="shared" si="0"/>
        <v>72658825.293501049</v>
      </c>
      <c r="F13" s="114">
        <f t="shared" si="0"/>
        <v>84890882.731990501</v>
      </c>
      <c r="G13" s="114">
        <f t="shared" si="0"/>
        <v>97854362.43140763</v>
      </c>
      <c r="H13" s="114">
        <f t="shared" si="0"/>
        <v>111901962.89393654</v>
      </c>
    </row>
    <row r="14" spans="1:8">
      <c r="A14" s="94"/>
      <c r="B14" s="95"/>
      <c r="C14" s="95"/>
      <c r="D14" s="95"/>
      <c r="E14" s="95"/>
      <c r="F14" s="95"/>
      <c r="G14" s="95"/>
      <c r="H14" s="95"/>
    </row>
    <row r="15" spans="1:8">
      <c r="A15" s="96" t="s">
        <v>312</v>
      </c>
      <c r="B15" s="95"/>
      <c r="C15" s="95"/>
      <c r="D15" s="95"/>
      <c r="E15" s="95"/>
      <c r="F15" s="95"/>
      <c r="G15" s="95"/>
      <c r="H15" s="95"/>
    </row>
    <row r="16" spans="1:8">
      <c r="A16" s="94" t="str">
        <f t="shared" ref="A16:A21" si="1">A6</f>
        <v>Faclitiy 1 - Trading Activity</v>
      </c>
      <c r="B16" s="95">
        <f>'12.Facility 1 - Trading'!D292</f>
        <v>24348560.000167176</v>
      </c>
      <c r="C16" s="95">
        <f>'12.Facility 1 - Trading'!E292</f>
        <v>35864334.230925091</v>
      </c>
      <c r="D16" s="95">
        <f>'12.Facility 1 - Trading'!F292</f>
        <v>43188134.782878116</v>
      </c>
      <c r="E16" s="95">
        <f>'12.Facility 1 - Trading'!G292</f>
        <v>51154654.554449126</v>
      </c>
      <c r="F16" s="95">
        <f>'12.Facility 1 - Trading'!H292</f>
        <v>59809855.966220073</v>
      </c>
      <c r="G16" s="95">
        <f>'12.Facility 1 - Trading'!I292</f>
        <v>69202690.882781953</v>
      </c>
      <c r="H16" s="95">
        <f>'12.Facility 1 - Trading'!J292</f>
        <v>79385284.651084498</v>
      </c>
    </row>
    <row r="17" spans="1:8">
      <c r="A17" s="94" t="str">
        <f t="shared" si="1"/>
        <v>Faclitiy 2 - Processing Unit- Cleaning, Grading</v>
      </c>
      <c r="B17" s="95">
        <f>'13.Facility 2 Grain Processing'!D172</f>
        <v>126210.14285399999</v>
      </c>
      <c r="C17" s="95">
        <f>'13.Facility 2 Grain Processing'!E172</f>
        <v>223067.67678855007</v>
      </c>
      <c r="D17" s="95">
        <f>'13.Facility 2 Grain Processing'!F172</f>
        <v>316544.92031783256</v>
      </c>
      <c r="E17" s="95">
        <f>'13.Facility 2 Grain Processing'!G172</f>
        <v>418812.21900807199</v>
      </c>
      <c r="F17" s="95">
        <f>'13.Facility 2 Grain Processing'!H172</f>
        <v>530514.8852665408</v>
      </c>
      <c r="G17" s="95">
        <f>'13.Facility 2 Grain Processing'!I172</f>
        <v>652340.78760333615</v>
      </c>
      <c r="H17" s="95">
        <f>'13.Facility 2 Grain Processing'!J172</f>
        <v>785022.99296064477</v>
      </c>
    </row>
    <row r="18" spans="1:8">
      <c r="A18" s="94" t="str">
        <f t="shared" si="1"/>
        <v>Faclitiy 3 - Warehouse</v>
      </c>
      <c r="B18" s="95">
        <f>'14. Facility 3 Warehouse'!D34</f>
        <v>292800</v>
      </c>
      <c r="C18" s="95">
        <f>'14. Facility 3 Warehouse'!E34</f>
        <v>307440</v>
      </c>
      <c r="D18" s="95">
        <f>'14. Facility 3 Warehouse'!F34</f>
        <v>322812</v>
      </c>
      <c r="E18" s="95">
        <f>'14. Facility 3 Warehouse'!G34</f>
        <v>338952.60000000009</v>
      </c>
      <c r="F18" s="95">
        <f>'14. Facility 3 Warehouse'!H34</f>
        <v>355900.23000000004</v>
      </c>
      <c r="G18" s="95">
        <f>'14. Facility 3 Warehouse'!I34</f>
        <v>373695.24150000006</v>
      </c>
      <c r="H18" s="95">
        <f>'14. Facility 3 Warehouse'!J34</f>
        <v>392380.00357500016</v>
      </c>
    </row>
    <row r="19" spans="1:8">
      <c r="A19" s="94" t="str">
        <f t="shared" si="1"/>
        <v xml:space="preserve">Faclitiy 4 - Custom Hiring </v>
      </c>
      <c r="B19" s="95">
        <f>'15. Facility 4 Custom Hiring'!E49</f>
        <v>0</v>
      </c>
      <c r="C19" s="95">
        <f>'15. Facility 4 Custom Hiring'!F49</f>
        <v>0</v>
      </c>
      <c r="D19" s="95">
        <f>'15. Facility 4 Custom Hiring'!G49</f>
        <v>0</v>
      </c>
      <c r="E19" s="95">
        <f>'15. Facility 4 Custom Hiring'!H49</f>
        <v>0</v>
      </c>
      <c r="F19" s="95">
        <f>'15. Facility 4 Custom Hiring'!I49</f>
        <v>0</v>
      </c>
      <c r="G19" s="95">
        <f>'15. Facility 4 Custom Hiring'!J49</f>
        <v>0</v>
      </c>
      <c r="H19" s="95">
        <f>'15. Facility 4 Custom Hiring'!K49</f>
        <v>0</v>
      </c>
    </row>
    <row r="20" spans="1:8">
      <c r="A20" s="94" t="str">
        <f t="shared" si="1"/>
        <v>Faclitiy 5 - Agri Input Centre</v>
      </c>
      <c r="B20" s="95">
        <f>'16.Facility 5 Agri Input'!D262</f>
        <v>0</v>
      </c>
      <c r="C20" s="95">
        <f>'16.Facility 5 Agri Input'!E262</f>
        <v>0</v>
      </c>
      <c r="D20" s="95">
        <f>'16.Facility 5 Agri Input'!F262</f>
        <v>0</v>
      </c>
      <c r="E20" s="95">
        <f>'16.Facility 5 Agri Input'!G262</f>
        <v>0</v>
      </c>
      <c r="F20" s="95">
        <f>'16.Facility 5 Agri Input'!H262</f>
        <v>0</v>
      </c>
      <c r="G20" s="95">
        <f>'16.Facility 5 Agri Input'!I262</f>
        <v>0</v>
      </c>
      <c r="H20" s="95">
        <f>'16.Facility 5 Agri Input'!J262</f>
        <v>0</v>
      </c>
    </row>
    <row r="21" spans="1:8">
      <c r="A21" s="94" t="str">
        <f t="shared" si="1"/>
        <v>Facility 6 - Processing Unit - Horti Commodity</v>
      </c>
      <c r="B21" s="95">
        <f>'17.Facility 6 Horti Processing '!D177</f>
        <v>0</v>
      </c>
      <c r="C21" s="95">
        <f>'17.Facility 6 Horti Processing '!E177</f>
        <v>0</v>
      </c>
      <c r="D21" s="95">
        <f>'17.Facility 6 Horti Processing '!F177</f>
        <v>0</v>
      </c>
      <c r="E21" s="95">
        <f>'17.Facility 6 Horti Processing '!G177</f>
        <v>0</v>
      </c>
      <c r="F21" s="95">
        <f>'17.Facility 6 Horti Processing '!H177</f>
        <v>0</v>
      </c>
      <c r="G21" s="95">
        <f>'17.Facility 6 Horti Processing '!I177</f>
        <v>0</v>
      </c>
      <c r="H21" s="95">
        <f>'17.Facility 6 Horti Processing '!J177</f>
        <v>0</v>
      </c>
    </row>
    <row r="22" spans="1:8">
      <c r="A22" s="94"/>
      <c r="B22" s="95"/>
      <c r="C22" s="95"/>
      <c r="D22" s="95"/>
      <c r="E22" s="95"/>
      <c r="F22" s="95"/>
      <c r="G22" s="95"/>
      <c r="H22" s="95"/>
    </row>
    <row r="23" spans="1:8">
      <c r="A23" s="96" t="s">
        <v>319</v>
      </c>
      <c r="B23" s="114">
        <f>SUM(B16:B22)</f>
        <v>24767570.143021178</v>
      </c>
      <c r="C23" s="114">
        <f t="shared" ref="C23:H23" si="2">SUM(C16:C22)</f>
        <v>36394841.907713644</v>
      </c>
      <c r="D23" s="114">
        <f t="shared" si="2"/>
        <v>43827491.703195952</v>
      </c>
      <c r="E23" s="114">
        <f t="shared" si="2"/>
        <v>51912419.373457201</v>
      </c>
      <c r="F23" s="114">
        <f t="shared" si="2"/>
        <v>60696271.081486613</v>
      </c>
      <c r="G23" s="114">
        <f t="shared" si="2"/>
        <v>70228726.911885291</v>
      </c>
      <c r="H23" s="114">
        <f t="shared" si="2"/>
        <v>80562687.647620142</v>
      </c>
    </row>
    <row r="24" spans="1:8">
      <c r="A24" s="94"/>
      <c r="B24" s="95"/>
      <c r="C24" s="95"/>
      <c r="D24" s="95"/>
      <c r="E24" s="95"/>
      <c r="F24" s="95"/>
      <c r="G24" s="95"/>
      <c r="H24" s="95"/>
    </row>
    <row r="25" spans="1:8">
      <c r="A25" s="96" t="s">
        <v>310</v>
      </c>
      <c r="B25" s="95"/>
      <c r="C25" s="95"/>
      <c r="D25" s="95"/>
      <c r="E25" s="95"/>
      <c r="F25" s="95"/>
      <c r="G25" s="95"/>
      <c r="H25" s="95"/>
    </row>
    <row r="26" spans="1:8">
      <c r="A26" s="94" t="str">
        <f t="shared" ref="A26:A31" si="3">A16</f>
        <v>Faclitiy 1 - Trading Activity</v>
      </c>
      <c r="B26" s="95">
        <f>'12.Facility 1 - Trading'!D301</f>
        <v>1800000</v>
      </c>
      <c r="C26" s="95">
        <f>'12.Facility 1 - Trading'!E301</f>
        <v>1890000</v>
      </c>
      <c r="D26" s="95">
        <f>'12.Facility 1 - Trading'!F301</f>
        <v>1984500</v>
      </c>
      <c r="E26" s="95">
        <f>'12.Facility 1 - Trading'!G301</f>
        <v>2083725.0000000002</v>
      </c>
      <c r="F26" s="95">
        <f>'12.Facility 1 - Trading'!H301</f>
        <v>2187911.2500000005</v>
      </c>
      <c r="G26" s="95">
        <f>'12.Facility 1 - Trading'!I301</f>
        <v>2297306.8125000005</v>
      </c>
      <c r="H26" s="95">
        <f>'12.Facility 1 - Trading'!J301</f>
        <v>2412172.1531250007</v>
      </c>
    </row>
    <row r="27" spans="1:8">
      <c r="A27" s="94" t="str">
        <f t="shared" si="3"/>
        <v>Faclitiy 2 - Processing Unit- Cleaning, Grading</v>
      </c>
      <c r="B27" s="95">
        <f>'13.Facility 2 Grain Processing'!D180</f>
        <v>120000</v>
      </c>
      <c r="C27" s="95">
        <f>'13.Facility 2 Grain Processing'!E180</f>
        <v>126000</v>
      </c>
      <c r="D27" s="95">
        <f>'13.Facility 2 Grain Processing'!F180</f>
        <v>132300</v>
      </c>
      <c r="E27" s="95">
        <f>'13.Facility 2 Grain Processing'!G180</f>
        <v>138915.00000000003</v>
      </c>
      <c r="F27" s="95">
        <f>'13.Facility 2 Grain Processing'!H180</f>
        <v>145860.75000000003</v>
      </c>
      <c r="G27" s="95">
        <f>'13.Facility 2 Grain Processing'!I180</f>
        <v>153153.78750000003</v>
      </c>
      <c r="H27" s="95">
        <f>'13.Facility 2 Grain Processing'!J180</f>
        <v>160811.47687500005</v>
      </c>
    </row>
    <row r="28" spans="1:8">
      <c r="A28" s="94" t="str">
        <f t="shared" si="3"/>
        <v>Faclitiy 3 - Warehouse</v>
      </c>
      <c r="B28" s="95">
        <f>'14. Facility 3 Warehouse'!D43</f>
        <v>180000</v>
      </c>
      <c r="C28" s="95">
        <f>'14. Facility 3 Warehouse'!E43</f>
        <v>189000</v>
      </c>
      <c r="D28" s="95">
        <f>'14. Facility 3 Warehouse'!F43</f>
        <v>198450</v>
      </c>
      <c r="E28" s="95">
        <f>'14. Facility 3 Warehouse'!G43</f>
        <v>208372.50000000006</v>
      </c>
      <c r="F28" s="95">
        <f>'14. Facility 3 Warehouse'!H43</f>
        <v>218791.12500000006</v>
      </c>
      <c r="G28" s="95">
        <f>'14. Facility 3 Warehouse'!I43</f>
        <v>229730.68125000005</v>
      </c>
      <c r="H28" s="95">
        <f>'14. Facility 3 Warehouse'!J43</f>
        <v>241217.21531250008</v>
      </c>
    </row>
    <row r="29" spans="1:8">
      <c r="A29" s="94" t="str">
        <f t="shared" si="3"/>
        <v xml:space="preserve">Faclitiy 4 - Custom Hiring </v>
      </c>
      <c r="B29" s="95">
        <f>'15. Facility 4 Custom Hiring'!E56</f>
        <v>0</v>
      </c>
      <c r="C29" s="95">
        <f>'15. Facility 4 Custom Hiring'!F56</f>
        <v>0</v>
      </c>
      <c r="D29" s="95">
        <f>'15. Facility 4 Custom Hiring'!G56</f>
        <v>0</v>
      </c>
      <c r="E29" s="95">
        <f>'15. Facility 4 Custom Hiring'!H56</f>
        <v>0</v>
      </c>
      <c r="F29" s="95">
        <f>'15. Facility 4 Custom Hiring'!I56</f>
        <v>0</v>
      </c>
      <c r="G29" s="95">
        <f>'15. Facility 4 Custom Hiring'!J56</f>
        <v>0</v>
      </c>
      <c r="H29" s="95">
        <f>'15. Facility 4 Custom Hiring'!K56</f>
        <v>0</v>
      </c>
    </row>
    <row r="30" spans="1:8">
      <c r="A30" s="94" t="str">
        <f t="shared" si="3"/>
        <v>Faclitiy 5 - Agri Input Centre</v>
      </c>
      <c r="B30" s="95">
        <f>'16.Facility 5 Agri Input'!D273</f>
        <v>0</v>
      </c>
      <c r="C30" s="95">
        <f>'16.Facility 5 Agri Input'!E273</f>
        <v>0</v>
      </c>
      <c r="D30" s="95">
        <f>'16.Facility 5 Agri Input'!F273</f>
        <v>0</v>
      </c>
      <c r="E30" s="95">
        <f>'16.Facility 5 Agri Input'!G273</f>
        <v>0</v>
      </c>
      <c r="F30" s="95">
        <f>'16.Facility 5 Agri Input'!H273</f>
        <v>0</v>
      </c>
      <c r="G30" s="95">
        <f>'16.Facility 5 Agri Input'!I273</f>
        <v>0</v>
      </c>
      <c r="H30" s="95">
        <f>'16.Facility 5 Agri Input'!J273</f>
        <v>0</v>
      </c>
    </row>
    <row r="31" spans="1:8">
      <c r="A31" s="94" t="str">
        <f t="shared" si="3"/>
        <v>Facility 6 - Processing Unit - Horti Commodity</v>
      </c>
      <c r="B31" s="95">
        <f>'17.Facility 6 Horti Processing '!D185</f>
        <v>0</v>
      </c>
      <c r="C31" s="95">
        <f>'17.Facility 6 Horti Processing '!E185</f>
        <v>0</v>
      </c>
      <c r="D31" s="95">
        <f>'17.Facility 6 Horti Processing '!F185</f>
        <v>0</v>
      </c>
      <c r="E31" s="95">
        <f>'17.Facility 6 Horti Processing '!G185</f>
        <v>0</v>
      </c>
      <c r="F31" s="95">
        <f>'17.Facility 6 Horti Processing '!H185</f>
        <v>0</v>
      </c>
      <c r="G31" s="95">
        <f>'17.Facility 6 Horti Processing '!I185</f>
        <v>0</v>
      </c>
      <c r="H31" s="95">
        <f>'17.Facility 6 Horti Processing '!J185</f>
        <v>0</v>
      </c>
    </row>
    <row r="32" spans="1:8">
      <c r="A32" s="94"/>
      <c r="B32" s="95"/>
      <c r="C32" s="95"/>
      <c r="D32" s="95"/>
      <c r="E32" s="95"/>
      <c r="F32" s="95"/>
      <c r="G32" s="95"/>
      <c r="H32" s="95"/>
    </row>
    <row r="33" spans="1:10">
      <c r="A33" s="94" t="s">
        <v>9</v>
      </c>
      <c r="B33" s="95">
        <f>'3.Other Exp &amp; Taxes'!E23</f>
        <v>3332800</v>
      </c>
      <c r="C33" s="95">
        <f>'3.Other Exp &amp; Taxes'!F23</f>
        <v>3499440</v>
      </c>
      <c r="D33" s="95">
        <f>'3.Other Exp &amp; Taxes'!G23</f>
        <v>3674412</v>
      </c>
      <c r="E33" s="95">
        <f>'3.Other Exp &amp; Taxes'!H23</f>
        <v>3858132.600000001</v>
      </c>
      <c r="F33" s="95">
        <f>'3.Other Exp &amp; Taxes'!I23</f>
        <v>4051039.2300000009</v>
      </c>
      <c r="G33" s="95">
        <f>'3.Other Exp &amp; Taxes'!J23</f>
        <v>4253591.1915000016</v>
      </c>
      <c r="H33" s="95">
        <f>'3.Other Exp &amp; Taxes'!K23</f>
        <v>4466270.7510750014</v>
      </c>
    </row>
    <row r="34" spans="1:10">
      <c r="A34" s="96" t="s">
        <v>323</v>
      </c>
      <c r="B34" s="114">
        <f t="shared" ref="B34:H34" si="4">SUM(B26:B33)</f>
        <v>5432800</v>
      </c>
      <c r="C34" s="114">
        <f t="shared" si="4"/>
        <v>5704440</v>
      </c>
      <c r="D34" s="114">
        <f t="shared" si="4"/>
        <v>5989662</v>
      </c>
      <c r="E34" s="114">
        <f t="shared" si="4"/>
        <v>6289145.1000000015</v>
      </c>
      <c r="F34" s="114">
        <f t="shared" si="4"/>
        <v>6603602.3550000014</v>
      </c>
      <c r="G34" s="114">
        <f t="shared" si="4"/>
        <v>6933782.4727500025</v>
      </c>
      <c r="H34" s="114">
        <f t="shared" si="4"/>
        <v>7280471.5963875018</v>
      </c>
    </row>
    <row r="35" spans="1:10">
      <c r="A35" s="94"/>
      <c r="B35" s="95"/>
      <c r="C35" s="95"/>
      <c r="D35" s="95"/>
      <c r="E35" s="95"/>
      <c r="F35" s="95"/>
      <c r="G35" s="95"/>
      <c r="H35" s="95"/>
    </row>
    <row r="36" spans="1:10">
      <c r="A36" s="96" t="s">
        <v>328</v>
      </c>
      <c r="B36" s="114">
        <f t="shared" ref="B36:H36" si="5">B23+B34</f>
        <v>30200370.143021178</v>
      </c>
      <c r="C36" s="114">
        <f t="shared" si="5"/>
        <v>42099281.907713644</v>
      </c>
      <c r="D36" s="114">
        <f t="shared" si="5"/>
        <v>49817153.703195952</v>
      </c>
      <c r="E36" s="114">
        <f t="shared" si="5"/>
        <v>58201564.473457202</v>
      </c>
      <c r="F36" s="114">
        <f t="shared" si="5"/>
        <v>67299873.436486617</v>
      </c>
      <c r="G36" s="114">
        <f t="shared" si="5"/>
        <v>77162509.384635299</v>
      </c>
      <c r="H36" s="114">
        <f t="shared" si="5"/>
        <v>87843159.244007647</v>
      </c>
    </row>
    <row r="37" spans="1:10">
      <c r="A37" s="94"/>
      <c r="B37" s="95"/>
      <c r="C37" s="95"/>
      <c r="D37" s="95"/>
      <c r="E37" s="95"/>
      <c r="F37" s="95"/>
      <c r="G37" s="95"/>
      <c r="H37" s="95"/>
    </row>
    <row r="38" spans="1:10">
      <c r="A38" s="96" t="s">
        <v>136</v>
      </c>
      <c r="B38" s="114">
        <f t="shared" ref="B38:H38" si="6">B13-B36</f>
        <v>5034837.0611708201</v>
      </c>
      <c r="C38" s="114">
        <f t="shared" si="6"/>
        <v>8947934.7734631673</v>
      </c>
      <c r="D38" s="114">
        <f t="shared" si="6"/>
        <v>11582075.670374736</v>
      </c>
      <c r="E38" s="114">
        <f t="shared" si="6"/>
        <v>14457260.820043847</v>
      </c>
      <c r="F38" s="114">
        <f t="shared" si="6"/>
        <v>17591009.295503885</v>
      </c>
      <c r="G38" s="114">
        <f t="shared" si="6"/>
        <v>20691853.046772331</v>
      </c>
      <c r="H38" s="114">
        <f t="shared" si="6"/>
        <v>24058803.649928898</v>
      </c>
      <c r="J38" s="67">
        <f>B47+B40+B41</f>
        <v>2470427.5286124684</v>
      </c>
    </row>
    <row r="39" spans="1:10">
      <c r="A39" s="94"/>
      <c r="B39" s="95"/>
      <c r="C39" s="95"/>
      <c r="D39" s="95"/>
      <c r="E39" s="95"/>
      <c r="F39" s="95"/>
      <c r="G39" s="95"/>
      <c r="H39" s="95"/>
      <c r="J39">
        <f>'5.Closing Stock &amp; W Capital'!E51</f>
        <v>677859.63750597415</v>
      </c>
    </row>
    <row r="40" spans="1:10">
      <c r="A40" s="98" t="s">
        <v>17</v>
      </c>
      <c r="B40" s="95">
        <f>'3.Other Exp &amp; Taxes'!C66</f>
        <v>2031429.7149159999</v>
      </c>
      <c r="C40" s="95">
        <f>'3.Other Exp &amp; Taxes'!D66</f>
        <v>2031429.7149159999</v>
      </c>
      <c r="D40" s="95">
        <f>'3.Other Exp &amp; Taxes'!E66</f>
        <v>2031429.7149159999</v>
      </c>
      <c r="E40" s="95">
        <f>'3.Other Exp &amp; Taxes'!F66</f>
        <v>2031429.7149159999</v>
      </c>
      <c r="F40" s="95">
        <f>'3.Other Exp &amp; Taxes'!G66</f>
        <v>2031429.7149159999</v>
      </c>
      <c r="G40" s="95">
        <f>'3.Other Exp &amp; Taxes'!H66</f>
        <v>2031429.7149159999</v>
      </c>
      <c r="H40" s="95">
        <f>'3.Other Exp &amp; Taxes'!I66</f>
        <v>2031429.7149159999</v>
      </c>
      <c r="J40" s="67">
        <f>J38+J39</f>
        <v>3148287.1661184425</v>
      </c>
    </row>
    <row r="41" spans="1:10">
      <c r="A41" s="98" t="s">
        <v>137</v>
      </c>
      <c r="B41" s="95">
        <f>'3.Other Exp &amp; Taxes'!C86</f>
        <v>12588</v>
      </c>
      <c r="C41" s="95">
        <f>'3.Other Exp &amp; Taxes'!D86</f>
        <v>12588</v>
      </c>
      <c r="D41" s="95">
        <f>'3.Other Exp &amp; Taxes'!E86</f>
        <v>12588</v>
      </c>
      <c r="E41" s="95">
        <f>'3.Other Exp &amp; Taxes'!F86</f>
        <v>12588</v>
      </c>
      <c r="F41" s="95">
        <f>'3.Other Exp &amp; Taxes'!G86</f>
        <v>12588</v>
      </c>
      <c r="G41" s="95">
        <f>'3.Other Exp &amp; Taxes'!H86</f>
        <v>0</v>
      </c>
      <c r="H41" s="95">
        <f>'3.Other Exp &amp; Taxes'!I86</f>
        <v>0</v>
      </c>
    </row>
    <row r="42" spans="1:10">
      <c r="A42" s="94"/>
      <c r="B42" s="95"/>
      <c r="C42" s="95"/>
      <c r="D42" s="95"/>
      <c r="E42" s="95"/>
      <c r="F42" s="95"/>
      <c r="G42" s="95"/>
      <c r="H42" s="95"/>
    </row>
    <row r="43" spans="1:10">
      <c r="A43" s="96" t="s">
        <v>138</v>
      </c>
      <c r="B43" s="114">
        <f>B38-B40-B41</f>
        <v>2990819.34625482</v>
      </c>
      <c r="C43" s="114">
        <f t="shared" ref="C43:H43" si="7">C38-C40-C41</f>
        <v>6903917.0585471671</v>
      </c>
      <c r="D43" s="114">
        <f t="shared" si="7"/>
        <v>9538057.955458736</v>
      </c>
      <c r="E43" s="114">
        <f t="shared" si="7"/>
        <v>12413243.105127847</v>
      </c>
      <c r="F43" s="114">
        <f t="shared" si="7"/>
        <v>15546991.580587884</v>
      </c>
      <c r="G43" s="114">
        <f t="shared" si="7"/>
        <v>18660423.331856333</v>
      </c>
      <c r="H43" s="114">
        <f t="shared" si="7"/>
        <v>22027373.935012899</v>
      </c>
    </row>
    <row r="44" spans="1:10">
      <c r="A44" s="94"/>
      <c r="B44" s="95"/>
      <c r="C44" s="95"/>
      <c r="D44" s="95"/>
      <c r="E44" s="95"/>
      <c r="F44" s="95"/>
      <c r="G44" s="95"/>
      <c r="H44" s="95"/>
    </row>
    <row r="45" spans="1:10">
      <c r="A45" s="94" t="s">
        <v>24</v>
      </c>
      <c r="B45" s="95">
        <f>'8.Cash Flow '!C26+'8.Cash Flow '!C28</f>
        <v>2564409.5325583518</v>
      </c>
      <c r="C45" s="95">
        <f>'8.Cash Flow '!D26+'8.Cash Flow '!D28</f>
        <v>2339720.8956118845</v>
      </c>
      <c r="D45" s="95">
        <f>'8.Cash Flow '!E26+'8.Cash Flow '!E28</f>
        <v>1711476.4536057415</v>
      </c>
      <c r="E45" s="95">
        <f>'8.Cash Flow '!F26+'8.Cash Flow '!F28</f>
        <v>976844.77531003417</v>
      </c>
      <c r="F45" s="95">
        <f>'8.Cash Flow '!G26+'8.Cash Flow '!G28</f>
        <v>118551.08520075516</v>
      </c>
      <c r="G45" s="95">
        <f>'8.Cash Flow '!H26+'8.Cash Flow '!H28</f>
        <v>-885915.5678764116</v>
      </c>
      <c r="H45" s="95">
        <f>'8.Cash Flow '!I26+'8.Cash Flow '!I28</f>
        <v>-2057318.5754877706</v>
      </c>
    </row>
    <row r="46" spans="1:10">
      <c r="A46" s="94"/>
      <c r="B46" s="95"/>
      <c r="C46" s="95"/>
      <c r="D46" s="95"/>
      <c r="E46" s="95"/>
      <c r="F46" s="95"/>
      <c r="G46" s="95"/>
      <c r="H46" s="95"/>
    </row>
    <row r="47" spans="1:10">
      <c r="A47" s="94" t="s">
        <v>25</v>
      </c>
      <c r="B47" s="95">
        <f>B43-B45</f>
        <v>426409.81369646825</v>
      </c>
      <c r="C47" s="95">
        <f t="shared" ref="C47:H47" si="8">C43-C45</f>
        <v>4564196.162935283</v>
      </c>
      <c r="D47" s="95">
        <f t="shared" si="8"/>
        <v>7826581.5018529948</v>
      </c>
      <c r="E47" s="95">
        <f t="shared" si="8"/>
        <v>11436398.329817813</v>
      </c>
      <c r="F47" s="95">
        <f t="shared" si="8"/>
        <v>15428440.495387129</v>
      </c>
      <c r="G47" s="95">
        <f t="shared" si="8"/>
        <v>19546338.899732746</v>
      </c>
      <c r="H47" s="95">
        <f t="shared" si="8"/>
        <v>24084692.510500669</v>
      </c>
    </row>
    <row r="48" spans="1:10">
      <c r="A48" s="94" t="s">
        <v>26</v>
      </c>
      <c r="B48" s="95">
        <f>'3.Other Exp &amp; Taxes'!B99</f>
        <v>-737787.25484688301</v>
      </c>
      <c r="C48" s="95">
        <f>'3.Other Exp &amp; Taxes'!C99</f>
        <v>492670.37616282073</v>
      </c>
      <c r="D48" s="95">
        <f>'3.Other Exp &amp; Taxes'!D99</f>
        <v>1470344.6182222487</v>
      </c>
      <c r="E48" s="95">
        <f>'3.Other Exp &amp; Taxes'!E99</f>
        <v>2508572.3476104531</v>
      </c>
      <c r="F48" s="95">
        <f>'3.Other Exp &amp; Taxes'!F99</f>
        <v>3621448.3338900818</v>
      </c>
      <c r="G48" s="95">
        <f>'3.Other Exp &amp; Taxes'!G99</f>
        <v>4748821.5467755562</v>
      </c>
      <c r="H48" s="95">
        <f>'3.Other Exp &amp; Taxes'!H99</f>
        <v>5967310.9515051246</v>
      </c>
    </row>
    <row r="49" spans="1:9">
      <c r="A49" s="96" t="s">
        <v>28</v>
      </c>
      <c r="B49" s="95">
        <f>B47-B48</f>
        <v>1164197.0685433513</v>
      </c>
      <c r="C49" s="95">
        <f>C47-C48</f>
        <v>4071525.7867724625</v>
      </c>
      <c r="D49" s="95">
        <f>D47-D48</f>
        <v>6356236.883630746</v>
      </c>
      <c r="E49" s="95">
        <f>E47-E48</f>
        <v>8927825.9822073597</v>
      </c>
      <c r="F49" s="95">
        <f>F47-F48</f>
        <v>11806992.161497047</v>
      </c>
      <c r="G49" s="95">
        <f t="shared" ref="G49:H49" si="9">G47-G48</f>
        <v>14797517.352957189</v>
      </c>
      <c r="H49" s="95">
        <f t="shared" si="9"/>
        <v>18117381.558995545</v>
      </c>
    </row>
    <row r="50" spans="1:9">
      <c r="A50" s="93" t="s">
        <v>510</v>
      </c>
      <c r="B50" s="111">
        <f>B49</f>
        <v>1164197.0685433513</v>
      </c>
      <c r="C50" s="111">
        <f t="shared" ref="C50:H50" si="10">B50+C49</f>
        <v>5235722.8553158138</v>
      </c>
      <c r="D50" s="111">
        <f t="shared" si="10"/>
        <v>11591959.738946561</v>
      </c>
      <c r="E50" s="111">
        <f t="shared" si="10"/>
        <v>20519785.721153922</v>
      </c>
      <c r="F50" s="111">
        <f t="shared" si="10"/>
        <v>32326777.882650971</v>
      </c>
      <c r="G50" s="111">
        <f t="shared" si="10"/>
        <v>47124295.23560816</v>
      </c>
      <c r="H50" s="111">
        <f t="shared" si="10"/>
        <v>65241676.794603705</v>
      </c>
    </row>
    <row r="51" spans="1:9" ht="32.450000000000003" customHeight="1">
      <c r="A51" s="448" t="s">
        <v>408</v>
      </c>
      <c r="B51" s="448"/>
      <c r="C51" s="448"/>
      <c r="D51" s="448"/>
      <c r="E51" s="448"/>
      <c r="F51" s="448"/>
      <c r="G51" s="448"/>
      <c r="H51" s="448"/>
      <c r="I51" s="448"/>
    </row>
    <row r="53" spans="1:9">
      <c r="A53" s="275"/>
    </row>
  </sheetData>
  <mergeCells count="2">
    <mergeCell ref="A2:H2"/>
    <mergeCell ref="A51:I51"/>
  </mergeCells>
  <pageMargins left="0.70866141732283472" right="0.70866141732283472" top="0.74803149606299213" bottom="0.74803149606299213" header="0.31496062992125984" footer="0.31496062992125984"/>
  <pageSetup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view="pageBreakPreview" zoomScale="80" zoomScaleSheetLayoutView="80" workbookViewId="0">
      <selection sqref="A1:F1"/>
    </sheetView>
  </sheetViews>
  <sheetFormatPr defaultRowHeight="15"/>
  <cols>
    <col min="1" max="1" width="37.28515625" style="53" customWidth="1"/>
    <col min="2" max="2" width="18.42578125" style="53" bestFit="1" customWidth="1"/>
    <col min="3" max="3" width="16.42578125" style="53" customWidth="1"/>
    <col min="4" max="4" width="17" style="53" customWidth="1"/>
    <col min="5" max="5" width="18.5703125" style="53" customWidth="1"/>
    <col min="6" max="6" width="17.28515625" style="53" customWidth="1"/>
    <col min="7" max="7" width="16.140625" style="53" customWidth="1"/>
    <col min="8" max="8" width="15.85546875" style="53"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32"/>
      <c r="B1" s="432"/>
      <c r="C1" s="432"/>
      <c r="D1" s="432"/>
      <c r="E1" s="432"/>
      <c r="F1" s="432"/>
    </row>
    <row r="2" spans="1:18" ht="18.75">
      <c r="A2" s="449" t="s">
        <v>708</v>
      </c>
      <c r="B2" s="417"/>
      <c r="C2" s="417"/>
      <c r="D2" s="417"/>
      <c r="E2" s="417"/>
      <c r="F2" s="417"/>
      <c r="G2" s="417"/>
      <c r="H2" s="417"/>
      <c r="I2" s="84"/>
    </row>
    <row r="3" spans="1:18">
      <c r="A3" s="117" t="s">
        <v>0</v>
      </c>
      <c r="B3" s="118" t="s">
        <v>2</v>
      </c>
      <c r="C3" s="118" t="s">
        <v>3</v>
      </c>
      <c r="D3" s="118" t="s">
        <v>4</v>
      </c>
      <c r="E3" s="118" t="s">
        <v>5</v>
      </c>
      <c r="F3" s="118" t="s">
        <v>6</v>
      </c>
      <c r="G3" s="119" t="s">
        <v>167</v>
      </c>
      <c r="H3" s="119" t="s">
        <v>166</v>
      </c>
    </row>
    <row r="4" spans="1:18" s="54" customFormat="1">
      <c r="A4" s="120"/>
      <c r="B4" s="121"/>
      <c r="C4" s="122"/>
      <c r="D4" s="122"/>
      <c r="E4" s="122"/>
      <c r="F4" s="122"/>
      <c r="G4" s="122"/>
      <c r="H4" s="122"/>
    </row>
    <row r="5" spans="1:18">
      <c r="A5" s="123" t="s">
        <v>49</v>
      </c>
      <c r="B5" s="124"/>
      <c r="C5" s="124"/>
      <c r="D5" s="124"/>
      <c r="E5" s="124"/>
      <c r="F5" s="124"/>
      <c r="G5" s="124"/>
      <c r="H5" s="124"/>
    </row>
    <row r="6" spans="1:18">
      <c r="A6" s="125" t="s">
        <v>50</v>
      </c>
      <c r="B6" s="126"/>
      <c r="C6" s="126"/>
      <c r="D6" s="126"/>
      <c r="E6" s="126"/>
      <c r="F6" s="126"/>
      <c r="G6" s="126"/>
      <c r="H6" s="126"/>
    </row>
    <row r="7" spans="1:18">
      <c r="A7" s="127" t="s">
        <v>249</v>
      </c>
      <c r="B7" s="128">
        <f>'8.Cash Flow '!C33</f>
        <v>1379453.5328491777</v>
      </c>
      <c r="C7" s="128">
        <f>'8.Cash Flow '!D33</f>
        <v>1926749.9536863044</v>
      </c>
      <c r="D7" s="128">
        <f>'8.Cash Flow '!E33</f>
        <v>3927184.1532005295</v>
      </c>
      <c r="E7" s="128">
        <f>'8.Cash Flow '!F33</f>
        <v>7543445.2863385156</v>
      </c>
      <c r="F7" s="128">
        <f>'8.Cash Flow '!G33</f>
        <v>12940374.972659819</v>
      </c>
      <c r="G7" s="128">
        <f>'8.Cash Flow '!H33</f>
        <v>20052692.359772943</v>
      </c>
      <c r="H7" s="128">
        <f>'8.Cash Flow '!I33</f>
        <v>29033772.759345226</v>
      </c>
      <c r="K7" s="68"/>
      <c r="L7" s="68"/>
      <c r="M7" s="68"/>
      <c r="N7" s="68"/>
      <c r="O7" s="68"/>
      <c r="P7" s="68"/>
      <c r="Q7" s="68"/>
      <c r="R7" s="68"/>
    </row>
    <row r="8" spans="1:18">
      <c r="A8" s="129" t="s">
        <v>250</v>
      </c>
      <c r="B8" s="130"/>
      <c r="C8" s="130"/>
      <c r="D8" s="130"/>
      <c r="E8" s="130"/>
      <c r="F8" s="130"/>
      <c r="G8" s="130"/>
      <c r="H8" s="130"/>
      <c r="K8" s="68"/>
      <c r="L8" s="68"/>
      <c r="M8" s="68"/>
      <c r="N8" s="68"/>
      <c r="O8" s="68"/>
      <c r="P8" s="68"/>
      <c r="Q8" s="68"/>
      <c r="R8" s="68"/>
    </row>
    <row r="9" spans="1:18">
      <c r="A9" s="129" t="s">
        <v>589</v>
      </c>
      <c r="B9" s="130"/>
      <c r="C9" s="130"/>
      <c r="D9" s="130"/>
      <c r="E9" s="130"/>
      <c r="F9" s="130"/>
      <c r="G9" s="130"/>
      <c r="H9" s="130"/>
      <c r="K9" s="68"/>
      <c r="L9" s="68"/>
      <c r="M9" s="68"/>
      <c r="N9" s="68"/>
      <c r="O9" s="68"/>
      <c r="P9" s="68"/>
      <c r="Q9" s="68"/>
      <c r="R9" s="68"/>
    </row>
    <row r="10" spans="1:18">
      <c r="A10" s="125" t="s">
        <v>251</v>
      </c>
      <c r="B10" s="128">
        <f t="shared" ref="B10:H10" si="0">SUM(B7:B9)</f>
        <v>1379453.5328491777</v>
      </c>
      <c r="C10" s="128">
        <f t="shared" si="0"/>
        <v>1926749.9536863044</v>
      </c>
      <c r="D10" s="128">
        <f t="shared" si="0"/>
        <v>3927184.1532005295</v>
      </c>
      <c r="E10" s="128">
        <f t="shared" si="0"/>
        <v>7543445.2863385156</v>
      </c>
      <c r="F10" s="128">
        <f t="shared" si="0"/>
        <v>12940374.972659819</v>
      </c>
      <c r="G10" s="128">
        <f t="shared" si="0"/>
        <v>20052692.359772943</v>
      </c>
      <c r="H10" s="128">
        <f t="shared" si="0"/>
        <v>29033772.759345226</v>
      </c>
    </row>
    <row r="11" spans="1:18">
      <c r="A11" s="125"/>
      <c r="B11" s="130"/>
      <c r="C11" s="130"/>
      <c r="D11" s="130"/>
      <c r="E11" s="130"/>
      <c r="F11" s="130"/>
      <c r="G11" s="130"/>
      <c r="H11" s="130"/>
      <c r="J11" s="68"/>
      <c r="K11" s="68"/>
      <c r="L11" s="68"/>
      <c r="M11" s="68"/>
      <c r="N11" s="68"/>
      <c r="O11" s="68"/>
      <c r="P11" s="68"/>
      <c r="Q11" s="68"/>
    </row>
    <row r="12" spans="1:18">
      <c r="A12" s="131" t="s">
        <v>252</v>
      </c>
      <c r="B12" s="130">
        <f>'3.Other Exp &amp; Taxes'!C65</f>
        <v>41356252.480000004</v>
      </c>
      <c r="C12" s="130">
        <f>'3.Other Exp &amp; Taxes'!D65</f>
        <v>39324822.765083998</v>
      </c>
      <c r="D12" s="130">
        <f>'3.Other Exp &amp; Taxes'!E65</f>
        <v>37293393.050167993</v>
      </c>
      <c r="E12" s="130">
        <f>'3.Other Exp &amp; Taxes'!F65</f>
        <v>35261963.335252002</v>
      </c>
      <c r="F12" s="130">
        <f>'3.Other Exp &amp; Taxes'!G65</f>
        <v>33230533.620336</v>
      </c>
      <c r="G12" s="130">
        <f>'3.Other Exp &amp; Taxes'!H65</f>
        <v>31199103.905419998</v>
      </c>
      <c r="H12" s="130">
        <f>'3.Other Exp &amp; Taxes'!I65</f>
        <v>29167674.190503996</v>
      </c>
    </row>
    <row r="13" spans="1:18">
      <c r="A13" s="131" t="s">
        <v>253</v>
      </c>
      <c r="B13" s="130">
        <f>'3.Other Exp &amp; Taxes'!C66</f>
        <v>2031429.7149159999</v>
      </c>
      <c r="C13" s="130">
        <f>'3.Other Exp &amp; Taxes'!D66</f>
        <v>2031429.7149159999</v>
      </c>
      <c r="D13" s="130">
        <f>'3.Other Exp &amp; Taxes'!E66</f>
        <v>2031429.7149159999</v>
      </c>
      <c r="E13" s="130">
        <f>'3.Other Exp &amp; Taxes'!F66</f>
        <v>2031429.7149159999</v>
      </c>
      <c r="F13" s="130">
        <f>'3.Other Exp &amp; Taxes'!G66</f>
        <v>2031429.7149159999</v>
      </c>
      <c r="G13" s="130">
        <f>'3.Other Exp &amp; Taxes'!H66</f>
        <v>2031429.7149159999</v>
      </c>
      <c r="H13" s="130">
        <f>'3.Other Exp &amp; Taxes'!I66</f>
        <v>2031429.7149159999</v>
      </c>
      <c r="K13" s="68"/>
      <c r="L13" s="68"/>
      <c r="M13" s="68"/>
      <c r="N13" s="68"/>
      <c r="O13" s="68"/>
      <c r="P13" s="68"/>
      <c r="Q13" s="68"/>
    </row>
    <row r="14" spans="1:18" s="55" customFormat="1">
      <c r="A14" s="125" t="s">
        <v>198</v>
      </c>
      <c r="B14" s="128">
        <f t="shared" ref="B14:H14" si="1">B12-B13</f>
        <v>39324822.765084006</v>
      </c>
      <c r="C14" s="128">
        <f t="shared" si="1"/>
        <v>37293393.050168</v>
      </c>
      <c r="D14" s="128">
        <f t="shared" si="1"/>
        <v>35261963.335251994</v>
      </c>
      <c r="E14" s="128">
        <f t="shared" si="1"/>
        <v>33230533.620336004</v>
      </c>
      <c r="F14" s="128">
        <f t="shared" si="1"/>
        <v>31199103.905420002</v>
      </c>
      <c r="G14" s="128">
        <f t="shared" si="1"/>
        <v>29167674.190504</v>
      </c>
      <c r="H14" s="128">
        <f t="shared" si="1"/>
        <v>27136244.475587998</v>
      </c>
    </row>
    <row r="15" spans="1:18" s="55" customFormat="1">
      <c r="A15" s="125"/>
      <c r="B15" s="128"/>
      <c r="C15" s="128"/>
      <c r="D15" s="128"/>
      <c r="E15" s="128"/>
      <c r="F15" s="128"/>
      <c r="G15" s="128"/>
      <c r="H15" s="128"/>
    </row>
    <row r="16" spans="1:18" s="55" customFormat="1">
      <c r="A16" s="132"/>
      <c r="B16" s="128"/>
      <c r="C16" s="128"/>
      <c r="D16" s="128"/>
      <c r="E16" s="128"/>
      <c r="F16" s="128"/>
      <c r="G16" s="128"/>
      <c r="H16" s="128"/>
    </row>
    <row r="17" spans="1:8" s="55" customFormat="1">
      <c r="A17" s="125" t="s">
        <v>512</v>
      </c>
      <c r="B17" s="128">
        <f>'8.Cash Flow '!C20-'6.Cons Profit &amp; Loss'!B41</f>
        <v>50352</v>
      </c>
      <c r="C17" s="128">
        <f>B17-'6.Cons Profit &amp; Loss'!C41</f>
        <v>37764</v>
      </c>
      <c r="D17" s="128">
        <f>C17-'6.Cons Profit &amp; Loss'!D41</f>
        <v>25176</v>
      </c>
      <c r="E17" s="128">
        <f>D17-'6.Cons Profit &amp; Loss'!E41</f>
        <v>12588</v>
      </c>
      <c r="F17" s="128">
        <f>E17-'6.Cons Profit &amp; Loss'!F41</f>
        <v>0</v>
      </c>
      <c r="G17" s="128">
        <f>F17-'6.Cons Profit &amp; Loss'!G41</f>
        <v>0</v>
      </c>
      <c r="H17" s="128">
        <f>G17-'6.Cons Profit &amp; Loss'!H41</f>
        <v>0</v>
      </c>
    </row>
    <row r="18" spans="1:8">
      <c r="A18" s="131"/>
      <c r="B18" s="130"/>
      <c r="C18" s="130"/>
      <c r="D18" s="130"/>
      <c r="E18" s="130"/>
      <c r="F18" s="130"/>
      <c r="G18" s="130"/>
      <c r="H18" s="130"/>
    </row>
    <row r="19" spans="1:8">
      <c r="A19" s="132" t="s">
        <v>255</v>
      </c>
      <c r="B19" s="133">
        <f t="shared" ref="B19:H19" si="2">B10+B14+B16+B17</f>
        <v>40754628.297933184</v>
      </c>
      <c r="C19" s="133">
        <f t="shared" si="2"/>
        <v>39257907.003854305</v>
      </c>
      <c r="D19" s="133">
        <f t="shared" si="2"/>
        <v>39214323.488452524</v>
      </c>
      <c r="E19" s="133">
        <f t="shared" si="2"/>
        <v>40786566.906674519</v>
      </c>
      <c r="F19" s="133">
        <f t="shared" si="2"/>
        <v>44139478.878079817</v>
      </c>
      <c r="G19" s="133">
        <f t="shared" si="2"/>
        <v>49220366.550276943</v>
      </c>
      <c r="H19" s="133">
        <f t="shared" si="2"/>
        <v>56170017.234933227</v>
      </c>
    </row>
    <row r="20" spans="1:8">
      <c r="A20" s="120"/>
      <c r="B20" s="134"/>
      <c r="C20" s="134"/>
      <c r="D20" s="134"/>
      <c r="E20" s="134"/>
      <c r="F20" s="134"/>
      <c r="G20" s="134"/>
      <c r="H20" s="134"/>
    </row>
    <row r="21" spans="1:8">
      <c r="A21" s="123" t="s">
        <v>256</v>
      </c>
      <c r="B21" s="135"/>
      <c r="C21" s="135"/>
      <c r="D21" s="135"/>
      <c r="E21" s="135"/>
      <c r="F21" s="135"/>
      <c r="G21" s="135"/>
      <c r="H21" s="135"/>
    </row>
    <row r="22" spans="1:8">
      <c r="A22" s="125" t="s">
        <v>257</v>
      </c>
      <c r="B22" s="135"/>
      <c r="C22" s="135"/>
      <c r="D22" s="135"/>
      <c r="E22" s="135"/>
      <c r="F22" s="135"/>
      <c r="G22" s="135"/>
      <c r="H22" s="135"/>
    </row>
    <row r="23" spans="1:8">
      <c r="A23" s="129" t="s">
        <v>258</v>
      </c>
      <c r="B23" s="128"/>
      <c r="C23" s="128"/>
      <c r="D23" s="128"/>
      <c r="E23" s="128"/>
      <c r="F23" s="128"/>
      <c r="G23" s="128"/>
      <c r="H23" s="128"/>
    </row>
    <row r="24" spans="1:8">
      <c r="A24" s="129" t="s">
        <v>259</v>
      </c>
      <c r="B24" s="134"/>
      <c r="C24" s="134"/>
      <c r="D24" s="134"/>
      <c r="E24" s="134"/>
      <c r="F24" s="134"/>
      <c r="G24" s="134"/>
      <c r="H24" s="134"/>
    </row>
    <row r="25" spans="1:8" s="54" customFormat="1">
      <c r="A25" s="129" t="s">
        <v>260</v>
      </c>
      <c r="B25" s="128"/>
      <c r="C25" s="128"/>
      <c r="D25" s="128"/>
      <c r="E25" s="128"/>
      <c r="F25" s="128"/>
      <c r="G25" s="128"/>
      <c r="H25" s="128"/>
    </row>
    <row r="26" spans="1:8" s="54" customFormat="1">
      <c r="A26" s="125" t="s">
        <v>261</v>
      </c>
      <c r="B26" s="133">
        <f t="shared" ref="B26:H26" si="3">SUM(B23:B25)</f>
        <v>0</v>
      </c>
      <c r="C26" s="133">
        <f t="shared" si="3"/>
        <v>0</v>
      </c>
      <c r="D26" s="133">
        <f t="shared" si="3"/>
        <v>0</v>
      </c>
      <c r="E26" s="133">
        <f t="shared" si="3"/>
        <v>0</v>
      </c>
      <c r="F26" s="133">
        <f t="shared" si="3"/>
        <v>0</v>
      </c>
      <c r="G26" s="133">
        <f t="shared" si="3"/>
        <v>0</v>
      </c>
      <c r="H26" s="133">
        <f t="shared" si="3"/>
        <v>0</v>
      </c>
    </row>
    <row r="27" spans="1:8" s="54" customFormat="1">
      <c r="A27" s="125" t="s">
        <v>262</v>
      </c>
      <c r="B27" s="133">
        <f>'4.TL repayment sch'!G21</f>
        <v>11968067.479883842</v>
      </c>
      <c r="C27" s="133">
        <f>'4.TL repayment sch'!G33</f>
        <v>6399820.3990325006</v>
      </c>
      <c r="D27" s="133">
        <f>'4.TL repayment sch'!G45</f>
        <v>-7.5669959187507629E-9</v>
      </c>
      <c r="E27" s="133">
        <f>'4.TL repayment sch'!G57</f>
        <v>-7355582.5639853887</v>
      </c>
      <c r="F27" s="133">
        <f>'4.TL repayment sch'!G69</f>
        <v>-15809662.754077133</v>
      </c>
      <c r="G27" s="133">
        <f>'4.TL repayment sch'!G81</f>
        <v>-25526292.434837211</v>
      </c>
      <c r="H27" s="133">
        <f>'[1]Term Loan'!J72+'[1]Term Loan'!S72</f>
        <v>0</v>
      </c>
    </row>
    <row r="28" spans="1:8" s="54" customFormat="1">
      <c r="A28" s="125" t="s">
        <v>263</v>
      </c>
      <c r="B28" s="133"/>
      <c r="C28" s="133"/>
      <c r="D28" s="133"/>
      <c r="E28" s="133"/>
      <c r="F28" s="133"/>
      <c r="G28" s="133"/>
      <c r="H28" s="133"/>
    </row>
    <row r="29" spans="1:8" s="54" customFormat="1">
      <c r="A29" s="125"/>
      <c r="B29" s="136"/>
      <c r="C29" s="136"/>
      <c r="D29" s="136"/>
      <c r="E29" s="136"/>
      <c r="F29" s="136"/>
      <c r="G29" s="136"/>
      <c r="H29" s="136"/>
    </row>
    <row r="30" spans="1:8">
      <c r="A30" s="132" t="s">
        <v>264</v>
      </c>
      <c r="B30" s="133">
        <f t="shared" ref="B30:H30" si="4">SUM(B26:B28)</f>
        <v>11968067.479883842</v>
      </c>
      <c r="C30" s="133">
        <f t="shared" si="4"/>
        <v>6399820.3990325006</v>
      </c>
      <c r="D30" s="133">
        <f t="shared" si="4"/>
        <v>-7.5669959187507629E-9</v>
      </c>
      <c r="E30" s="133">
        <f t="shared" si="4"/>
        <v>-7355582.5639853887</v>
      </c>
      <c r="F30" s="133">
        <f t="shared" si="4"/>
        <v>-15809662.754077133</v>
      </c>
      <c r="G30" s="133">
        <f t="shared" si="4"/>
        <v>-25526292.434837211</v>
      </c>
      <c r="H30" s="133">
        <f t="shared" si="4"/>
        <v>0</v>
      </c>
    </row>
    <row r="31" spans="1:8">
      <c r="A31" s="120"/>
      <c r="B31" s="137"/>
      <c r="C31" s="137"/>
      <c r="D31" s="137"/>
      <c r="E31" s="137"/>
      <c r="F31" s="137"/>
      <c r="G31" s="137"/>
      <c r="H31" s="137"/>
    </row>
    <row r="32" spans="1:8">
      <c r="A32" s="131" t="s">
        <v>265</v>
      </c>
      <c r="B32" s="130">
        <f>'1.Project Cost and MOF'!E22</f>
        <v>2770848.2615059726</v>
      </c>
      <c r="C32" s="130">
        <f>B32</f>
        <v>2770848.2615059726</v>
      </c>
      <c r="D32" s="130">
        <f t="shared" ref="D32:H33" si="5">C32</f>
        <v>2770848.2615059726</v>
      </c>
      <c r="E32" s="130">
        <f t="shared" si="5"/>
        <v>2770848.2615059726</v>
      </c>
      <c r="F32" s="130">
        <f t="shared" si="5"/>
        <v>2770848.2615059726</v>
      </c>
      <c r="G32" s="130">
        <f t="shared" si="5"/>
        <v>2770848.2615059726</v>
      </c>
      <c r="H32" s="130">
        <f t="shared" si="5"/>
        <v>2770848.2615059726</v>
      </c>
    </row>
    <row r="33" spans="1:8">
      <c r="A33" s="131" t="s">
        <v>513</v>
      </c>
      <c r="B33" s="130">
        <f>'1.Project Cost and MOF'!E20</f>
        <v>24851515.488000002</v>
      </c>
      <c r="C33" s="130">
        <f>B33</f>
        <v>24851515.488000002</v>
      </c>
      <c r="D33" s="130">
        <f t="shared" si="5"/>
        <v>24851515.488000002</v>
      </c>
      <c r="E33" s="130">
        <f t="shared" si="5"/>
        <v>24851515.488000002</v>
      </c>
      <c r="F33" s="130">
        <f t="shared" si="5"/>
        <v>24851515.488000002</v>
      </c>
      <c r="G33" s="130">
        <f t="shared" si="5"/>
        <v>24851515.488000002</v>
      </c>
      <c r="H33" s="130">
        <f t="shared" si="5"/>
        <v>24851515.488000002</v>
      </c>
    </row>
    <row r="34" spans="1:8">
      <c r="A34" s="125" t="s">
        <v>266</v>
      </c>
      <c r="B34" s="130"/>
      <c r="C34" s="130"/>
      <c r="D34" s="130"/>
      <c r="E34" s="130"/>
      <c r="F34" s="130"/>
      <c r="G34" s="130"/>
      <c r="H34" s="130"/>
    </row>
    <row r="35" spans="1:8">
      <c r="A35" s="131" t="s">
        <v>267</v>
      </c>
      <c r="B35" s="130">
        <v>0</v>
      </c>
      <c r="C35" s="130">
        <f t="shared" ref="C35:H35" si="6">B38</f>
        <v>1164197.0685433513</v>
      </c>
      <c r="D35" s="130">
        <f t="shared" si="6"/>
        <v>5235722.8553158138</v>
      </c>
      <c r="E35" s="130">
        <f t="shared" si="6"/>
        <v>11591959.738946561</v>
      </c>
      <c r="F35" s="130">
        <f t="shared" si="6"/>
        <v>20519785.721153922</v>
      </c>
      <c r="G35" s="130">
        <f t="shared" si="6"/>
        <v>32326777.882650971</v>
      </c>
      <c r="H35" s="130">
        <f t="shared" si="6"/>
        <v>47124295.23560816</v>
      </c>
    </row>
    <row r="36" spans="1:8">
      <c r="A36" s="131" t="s">
        <v>268</v>
      </c>
      <c r="B36" s="130">
        <f>'6.Cons Profit &amp; Loss'!B50</f>
        <v>1164197.0685433513</v>
      </c>
      <c r="C36" s="130">
        <f>'6.Cons Profit &amp; Loss'!C49</f>
        <v>4071525.7867724625</v>
      </c>
      <c r="D36" s="130">
        <f>'6.Cons Profit &amp; Loss'!D49</f>
        <v>6356236.883630746</v>
      </c>
      <c r="E36" s="130">
        <f>'6.Cons Profit &amp; Loss'!E49</f>
        <v>8927825.9822073597</v>
      </c>
      <c r="F36" s="130">
        <f>'6.Cons Profit &amp; Loss'!F49</f>
        <v>11806992.161497047</v>
      </c>
      <c r="G36" s="130">
        <f>'6.Cons Profit &amp; Loss'!G49</f>
        <v>14797517.352957189</v>
      </c>
      <c r="H36" s="130">
        <f>'6.Cons Profit &amp; Loss'!H49</f>
        <v>18117381.558995545</v>
      </c>
    </row>
    <row r="37" spans="1:8">
      <c r="A37" s="131" t="s">
        <v>269</v>
      </c>
      <c r="B37" s="130"/>
      <c r="C37" s="130"/>
      <c r="D37" s="130"/>
      <c r="E37" s="130"/>
      <c r="F37" s="130"/>
      <c r="G37" s="130"/>
      <c r="H37" s="130"/>
    </row>
    <row r="38" spans="1:8">
      <c r="A38" s="131" t="s">
        <v>270</v>
      </c>
      <c r="B38" s="130">
        <f t="shared" ref="B38:H38" si="7">B35+B36-B37</f>
        <v>1164197.0685433513</v>
      </c>
      <c r="C38" s="130">
        <f t="shared" si="7"/>
        <v>5235722.8553158138</v>
      </c>
      <c r="D38" s="130">
        <f t="shared" si="7"/>
        <v>11591959.738946561</v>
      </c>
      <c r="E38" s="130">
        <f t="shared" si="7"/>
        <v>20519785.721153922</v>
      </c>
      <c r="F38" s="130">
        <f t="shared" si="7"/>
        <v>32326777.882650971</v>
      </c>
      <c r="G38" s="130">
        <f t="shared" si="7"/>
        <v>47124295.23560816</v>
      </c>
      <c r="H38" s="130">
        <f t="shared" si="7"/>
        <v>65241676.794603705</v>
      </c>
    </row>
    <row r="39" spans="1:8">
      <c r="A39" s="131"/>
      <c r="B39" s="135"/>
      <c r="C39" s="135"/>
      <c r="D39" s="135"/>
      <c r="E39" s="135"/>
      <c r="F39" s="135"/>
      <c r="G39" s="135"/>
      <c r="H39" s="135"/>
    </row>
    <row r="40" spans="1:8">
      <c r="A40" s="138" t="s">
        <v>271</v>
      </c>
      <c r="B40" s="139">
        <f t="shared" ref="B40:H40" si="8">B32+B38+B33</f>
        <v>28786560.818049327</v>
      </c>
      <c r="C40" s="139">
        <f t="shared" si="8"/>
        <v>32858086.604821786</v>
      </c>
      <c r="D40" s="139">
        <f t="shared" si="8"/>
        <v>39214323.488452539</v>
      </c>
      <c r="E40" s="139">
        <f t="shared" si="8"/>
        <v>48142149.470659897</v>
      </c>
      <c r="F40" s="139">
        <f t="shared" si="8"/>
        <v>59949141.632156953</v>
      </c>
      <c r="G40" s="139">
        <f t="shared" si="8"/>
        <v>74746658.985114142</v>
      </c>
      <c r="H40" s="139">
        <f t="shared" si="8"/>
        <v>92864040.544109687</v>
      </c>
    </row>
    <row r="41" spans="1:8">
      <c r="A41" s="120"/>
      <c r="B41" s="130"/>
      <c r="C41" s="130"/>
      <c r="D41" s="130"/>
      <c r="E41" s="130"/>
      <c r="F41" s="130"/>
      <c r="G41" s="130"/>
      <c r="H41" s="130"/>
    </row>
    <row r="42" spans="1:8">
      <c r="A42" s="132" t="s">
        <v>272</v>
      </c>
      <c r="B42" s="133">
        <f t="shared" ref="B42:H42" si="9">B30+B40</f>
        <v>40754628.297933169</v>
      </c>
      <c r="C42" s="133">
        <f t="shared" si="9"/>
        <v>39257907.00385429</v>
      </c>
      <c r="D42" s="133">
        <f t="shared" si="9"/>
        <v>39214323.488452531</v>
      </c>
      <c r="E42" s="133">
        <f t="shared" si="9"/>
        <v>40786566.906674504</v>
      </c>
      <c r="F42" s="133">
        <f t="shared" si="9"/>
        <v>44139478.878079817</v>
      </c>
      <c r="G42" s="133">
        <f t="shared" si="9"/>
        <v>49220366.550276935</v>
      </c>
      <c r="H42" s="133">
        <f t="shared" si="9"/>
        <v>92864040.544109687</v>
      </c>
    </row>
    <row r="43" spans="1:8">
      <c r="A43" s="120"/>
      <c r="B43" s="140"/>
      <c r="C43" s="140"/>
      <c r="D43" s="140"/>
      <c r="E43" s="140"/>
      <c r="F43" s="140"/>
      <c r="G43" s="140"/>
      <c r="H43" s="140"/>
    </row>
    <row r="44" spans="1:8">
      <c r="A44" s="141" t="s">
        <v>273</v>
      </c>
      <c r="B44" s="142"/>
      <c r="C44" s="142"/>
      <c r="D44" s="142"/>
      <c r="E44" s="142"/>
      <c r="F44" s="142"/>
      <c r="G44" s="142"/>
      <c r="H44" s="142"/>
    </row>
    <row r="45" spans="1:8">
      <c r="A45" s="143" t="s">
        <v>274</v>
      </c>
      <c r="B45" s="144">
        <f t="shared" ref="B45:H45" si="10">B42-B19</f>
        <v>0</v>
      </c>
      <c r="C45" s="144">
        <f t="shared" si="10"/>
        <v>0</v>
      </c>
      <c r="D45" s="144">
        <f t="shared" si="10"/>
        <v>0</v>
      </c>
      <c r="E45" s="144">
        <f t="shared" si="10"/>
        <v>0</v>
      </c>
      <c r="F45" s="144">
        <f t="shared" si="10"/>
        <v>0</v>
      </c>
      <c r="G45" s="144">
        <f t="shared" si="10"/>
        <v>0</v>
      </c>
      <c r="H45" s="144">
        <f t="shared" si="10"/>
        <v>36694023.30917646</v>
      </c>
    </row>
    <row r="46" spans="1:8">
      <c r="A46" s="143"/>
      <c r="B46" s="144"/>
      <c r="C46" s="144"/>
      <c r="D46" s="144"/>
      <c r="E46" s="144"/>
      <c r="F46" s="144"/>
      <c r="G46" s="144"/>
      <c r="H46" s="144"/>
    </row>
    <row r="47" spans="1:8" ht="15.75" thickBot="1">
      <c r="A47" s="145"/>
      <c r="B47" s="146"/>
      <c r="C47" s="146"/>
      <c r="D47" s="146"/>
      <c r="E47" s="146"/>
      <c r="F47" s="146"/>
      <c r="G47" s="146"/>
      <c r="H47" s="146"/>
    </row>
    <row r="48" spans="1:8">
      <c r="B48" s="56"/>
      <c r="C48" s="56"/>
      <c r="D48" s="56"/>
      <c r="E48" s="56"/>
      <c r="F48" s="56"/>
      <c r="G48" s="56"/>
      <c r="H48" s="56"/>
    </row>
    <row r="49" spans="1:9" ht="39.6" customHeight="1">
      <c r="A49" s="450" t="s">
        <v>409</v>
      </c>
      <c r="B49" s="451"/>
      <c r="C49" s="451"/>
      <c r="D49" s="451"/>
      <c r="E49" s="451"/>
      <c r="F49" s="451"/>
      <c r="G49" s="451"/>
      <c r="H49" s="451"/>
      <c r="I49" s="451"/>
    </row>
  </sheetData>
  <mergeCells count="3">
    <mergeCell ref="A1:F1"/>
    <mergeCell ref="A2:H2"/>
    <mergeCell ref="A49:I49"/>
  </mergeCells>
  <conditionalFormatting sqref="B35:F37 B36:H36">
    <cfRule type="cellIs" dxfId="2" priority="3" operator="lessThan">
      <formula>0</formula>
    </cfRule>
  </conditionalFormatting>
  <conditionalFormatting sqref="G35:G37">
    <cfRule type="cellIs" dxfId="1" priority="2" operator="lessThan">
      <formula>0</formula>
    </cfRule>
  </conditionalFormatting>
  <conditionalFormatting sqref="H35:H37">
    <cfRule type="cellIs" dxfId="0" priority="1" operator="lessThan">
      <formula>0</formula>
    </cfRule>
  </conditionalFormatting>
  <pageMargins left="0.70866141732283472" right="0.70866141732283472" top="0.74803149606299213" bottom="0.74803149606299213" header="0.31496062992125984" footer="0.31496062992125984"/>
  <pageSetup scale="6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80" zoomScaleSheetLayoutView="80" workbookViewId="0">
      <selection activeCell="A2" sqref="A2:J35"/>
    </sheetView>
  </sheetViews>
  <sheetFormatPr defaultRowHeight="15"/>
  <cols>
    <col min="1" max="1" width="3.5703125" bestFit="1" customWidth="1"/>
    <col min="2" max="2" width="35.7109375" bestFit="1" customWidth="1"/>
    <col min="3" max="3" width="16.85546875" customWidth="1"/>
    <col min="4" max="4" width="17.140625" customWidth="1"/>
    <col min="5" max="5" width="17.28515625" customWidth="1"/>
    <col min="6" max="6" width="17.7109375" customWidth="1"/>
    <col min="7" max="7" width="18.85546875" customWidth="1"/>
    <col min="8" max="8" width="17.85546875" customWidth="1"/>
    <col min="9" max="9" width="18.28515625" customWidth="1"/>
  </cols>
  <sheetData>
    <row r="1" spans="1:10">
      <c r="A1" s="432"/>
      <c r="B1" s="432"/>
      <c r="C1" s="432"/>
      <c r="D1" s="432"/>
      <c r="E1" s="432"/>
      <c r="F1" s="432"/>
      <c r="G1" s="432"/>
    </row>
    <row r="2" spans="1:10" ht="18.75">
      <c r="A2" s="417" t="s">
        <v>707</v>
      </c>
      <c r="B2" s="417"/>
      <c r="C2" s="417"/>
      <c r="D2" s="417"/>
      <c r="E2" s="417"/>
      <c r="F2" s="417"/>
      <c r="G2" s="417"/>
      <c r="H2" s="417"/>
      <c r="I2" s="417"/>
      <c r="J2" s="84"/>
    </row>
    <row r="4" spans="1:10">
      <c r="A4" s="58" t="s">
        <v>230</v>
      </c>
      <c r="B4" s="58" t="s">
        <v>0</v>
      </c>
      <c r="C4" s="59" t="s">
        <v>2</v>
      </c>
      <c r="D4" s="59" t="s">
        <v>3</v>
      </c>
      <c r="E4" s="59" t="s">
        <v>4</v>
      </c>
      <c r="F4" s="59" t="s">
        <v>5</v>
      </c>
      <c r="G4" s="59" t="s">
        <v>6</v>
      </c>
      <c r="H4" s="59" t="s">
        <v>167</v>
      </c>
      <c r="I4" s="59" t="s">
        <v>166</v>
      </c>
    </row>
    <row r="5" spans="1:10">
      <c r="A5" s="40">
        <v>1</v>
      </c>
      <c r="B5" s="40" t="s">
        <v>7</v>
      </c>
      <c r="C5" s="41"/>
      <c r="D5" s="41"/>
      <c r="E5" s="41"/>
      <c r="F5" s="41"/>
      <c r="G5" s="41"/>
      <c r="H5" s="41"/>
      <c r="I5" s="41"/>
    </row>
    <row r="6" spans="1:10">
      <c r="A6" s="40"/>
      <c r="B6" s="42" t="s">
        <v>363</v>
      </c>
      <c r="C6" s="41">
        <f>'6.Cons Profit &amp; Loss'!B13</f>
        <v>35235207.204191998</v>
      </c>
      <c r="D6" s="41">
        <f>'6.Cons Profit &amp; Loss'!C13</f>
        <v>51047216.681176811</v>
      </c>
      <c r="E6" s="41">
        <f>'6.Cons Profit &amp; Loss'!D13</f>
        <v>61399229.373570688</v>
      </c>
      <c r="F6" s="41">
        <f>'6.Cons Profit &amp; Loss'!E13</f>
        <v>72658825.293501049</v>
      </c>
      <c r="G6" s="41">
        <f>'6.Cons Profit &amp; Loss'!F13</f>
        <v>84890882.731990501</v>
      </c>
      <c r="H6" s="41">
        <f>'6.Cons Profit &amp; Loss'!G13</f>
        <v>97854362.43140763</v>
      </c>
      <c r="I6" s="41">
        <f>'6.Cons Profit &amp; Loss'!H13</f>
        <v>111901962.89393654</v>
      </c>
    </row>
    <row r="7" spans="1:10">
      <c r="A7" s="40">
        <v>2</v>
      </c>
      <c r="B7" s="40" t="s">
        <v>231</v>
      </c>
      <c r="C7" s="41">
        <f>'1.Project Cost and MOF'!E22</f>
        <v>2770848.2615059726</v>
      </c>
      <c r="D7" s="41"/>
      <c r="E7" s="41"/>
      <c r="F7" s="41"/>
      <c r="G7" s="41"/>
      <c r="H7" s="41"/>
      <c r="I7" s="41"/>
    </row>
    <row r="8" spans="1:10">
      <c r="A8" s="40"/>
      <c r="B8" s="40" t="s">
        <v>292</v>
      </c>
      <c r="C8" s="41"/>
      <c r="D8" s="41"/>
      <c r="E8" s="41"/>
      <c r="F8" s="41"/>
      <c r="G8" s="41"/>
      <c r="H8" s="41"/>
      <c r="I8" s="41"/>
    </row>
    <row r="9" spans="1:10">
      <c r="A9" s="40">
        <v>3</v>
      </c>
      <c r="B9" s="40" t="str">
        <f>'7.Balance Sheet'!A33</f>
        <v>Smart Grant -in-Aid</v>
      </c>
      <c r="C9" s="41">
        <f>'1.Project Cost and MOF'!E20</f>
        <v>24851515.488000002</v>
      </c>
      <c r="D9" s="41"/>
      <c r="E9" s="41"/>
      <c r="F9" s="41"/>
      <c r="G9" s="41"/>
      <c r="H9" s="41"/>
      <c r="I9" s="41"/>
    </row>
    <row r="10" spans="1:10">
      <c r="A10" s="40">
        <v>4</v>
      </c>
      <c r="B10" s="40" t="s">
        <v>232</v>
      </c>
      <c r="C10" s="41">
        <f>'1.Project Cost and MOF'!E21</f>
        <v>14474688.368000001</v>
      </c>
      <c r="D10" s="41"/>
      <c r="E10" s="41"/>
      <c r="F10" s="41"/>
      <c r="G10" s="41"/>
      <c r="H10" s="41"/>
      <c r="I10" s="41"/>
    </row>
    <row r="11" spans="1:10">
      <c r="A11" s="40">
        <v>5</v>
      </c>
      <c r="B11" s="40" t="s">
        <v>233</v>
      </c>
      <c r="C11" s="41">
        <f>'5.Closing Stock &amp; W Capital'!E50*75%</f>
        <v>5083947.2812948059</v>
      </c>
      <c r="D11" s="41">
        <f>'5.Closing Stock &amp; W Capital'!F50</f>
        <v>8437590.4512080252</v>
      </c>
      <c r="E11" s="41">
        <f>'5.Closing Stock &amp; W Capital'!G50</f>
        <v>10131997.752666567</v>
      </c>
      <c r="F11" s="41">
        <f>'5.Closing Stock &amp; W Capital'!H50</f>
        <v>11974751.808142943</v>
      </c>
      <c r="G11" s="41">
        <f>'5.Closing Stock &amp; W Capital'!I50</f>
        <v>13976451.27478529</v>
      </c>
      <c r="H11" s="41">
        <f>'5.Closing Stock &amp; W Capital'!J50</f>
        <v>16127141.588044975</v>
      </c>
      <c r="I11" s="41">
        <f>'5.Closing Stock &amp; W Capital'!K50</f>
        <v>18457959.804443661</v>
      </c>
    </row>
    <row r="12" spans="1:10">
      <c r="A12" s="40"/>
      <c r="B12" s="40" t="s">
        <v>234</v>
      </c>
      <c r="C12" s="43">
        <f t="shared" ref="C12:I12" si="0">SUM(C6:C11)</f>
        <v>82416206.602992788</v>
      </c>
      <c r="D12" s="43">
        <f t="shared" si="0"/>
        <v>59484807.132384837</v>
      </c>
      <c r="E12" s="43">
        <f t="shared" si="0"/>
        <v>71531227.126237258</v>
      </c>
      <c r="F12" s="43">
        <f t="shared" si="0"/>
        <v>84633577.101643994</v>
      </c>
      <c r="G12" s="43">
        <f t="shared" si="0"/>
        <v>98867334.006775796</v>
      </c>
      <c r="H12" s="43">
        <f t="shared" si="0"/>
        <v>113981504.0194526</v>
      </c>
      <c r="I12" s="43">
        <f t="shared" si="0"/>
        <v>130359922.6983802</v>
      </c>
    </row>
    <row r="13" spans="1:10">
      <c r="A13" s="452" t="s">
        <v>235</v>
      </c>
      <c r="B13" s="452"/>
      <c r="C13" s="44"/>
      <c r="D13" s="44"/>
      <c r="E13" s="44"/>
      <c r="F13" s="44"/>
      <c r="G13" s="44"/>
      <c r="H13" s="44"/>
      <c r="I13" s="44"/>
    </row>
    <row r="14" spans="1:10">
      <c r="A14" s="40">
        <v>1</v>
      </c>
      <c r="B14" s="40" t="s">
        <v>236</v>
      </c>
      <c r="C14" s="44"/>
      <c r="D14" s="44"/>
      <c r="E14" s="44"/>
      <c r="F14" s="44"/>
      <c r="G14" s="44"/>
      <c r="H14" s="44"/>
      <c r="I14" s="44"/>
    </row>
    <row r="15" spans="1:10">
      <c r="A15" s="45" t="s">
        <v>237</v>
      </c>
      <c r="B15" s="44" t="str">
        <f>'[1]Total Cost of Project'!C3</f>
        <v>Land and Building</v>
      </c>
      <c r="C15" s="46">
        <f>'1.Project Cost and MOF'!D6</f>
        <v>19365041.48</v>
      </c>
      <c r="D15" s="46"/>
      <c r="E15" s="46"/>
      <c r="F15" s="46"/>
      <c r="G15" s="46"/>
      <c r="H15" s="46"/>
      <c r="I15" s="46"/>
    </row>
    <row r="16" spans="1:10">
      <c r="A16" s="45" t="s">
        <v>238</v>
      </c>
      <c r="B16" s="47" t="str">
        <f>'[1]Total Cost of Project'!C4</f>
        <v>Machinery and Equipment</v>
      </c>
      <c r="C16" s="46">
        <f>'1.Project Cost and MOF'!D7</f>
        <v>21296000</v>
      </c>
      <c r="D16" s="46"/>
      <c r="E16" s="46"/>
      <c r="F16" s="46"/>
      <c r="G16" s="46"/>
      <c r="H16" s="46"/>
      <c r="I16" s="46"/>
    </row>
    <row r="17" spans="1:9">
      <c r="A17" s="45" t="s">
        <v>275</v>
      </c>
      <c r="B17" s="47" t="s">
        <v>330</v>
      </c>
      <c r="C17" s="46">
        <f>'1.Project Cost and MOF'!D8</f>
        <v>0</v>
      </c>
      <c r="D17" s="46"/>
      <c r="E17" s="46"/>
      <c r="F17" s="46"/>
      <c r="G17" s="46"/>
      <c r="H17" s="46"/>
      <c r="I17" s="46"/>
    </row>
    <row r="18" spans="1:9">
      <c r="A18" s="45" t="s">
        <v>277</v>
      </c>
      <c r="B18" s="47" t="s">
        <v>332</v>
      </c>
      <c r="C18" s="46">
        <f>'1.Project Cost and MOF'!D9</f>
        <v>695211</v>
      </c>
      <c r="D18" s="46"/>
      <c r="E18" s="46"/>
      <c r="F18" s="46"/>
      <c r="G18" s="46"/>
      <c r="H18" s="46"/>
      <c r="I18" s="46"/>
    </row>
    <row r="19" spans="1:9">
      <c r="A19" s="45" t="s">
        <v>333</v>
      </c>
      <c r="B19" s="47" t="s">
        <v>276</v>
      </c>
      <c r="C19" s="46">
        <f>'1.Project Cost and MOF'!D10</f>
        <v>0</v>
      </c>
      <c r="D19" s="41"/>
      <c r="E19" s="41"/>
      <c r="F19" s="41"/>
      <c r="G19" s="41"/>
      <c r="H19" s="41"/>
      <c r="I19" s="41"/>
    </row>
    <row r="20" spans="1:9">
      <c r="A20" s="45" t="s">
        <v>334</v>
      </c>
      <c r="B20" s="47" t="s">
        <v>278</v>
      </c>
      <c r="C20" s="46">
        <f>'1.Project Cost and MOF'!D11</f>
        <v>62940</v>
      </c>
      <c r="D20" s="41"/>
      <c r="E20" s="41"/>
      <c r="F20" s="41"/>
      <c r="G20" s="41"/>
      <c r="H20" s="41"/>
      <c r="I20" s="41"/>
    </row>
    <row r="21" spans="1:9">
      <c r="A21" s="40">
        <v>2</v>
      </c>
      <c r="B21" s="40" t="s">
        <v>239</v>
      </c>
      <c r="C21" s="44"/>
      <c r="D21" s="44"/>
      <c r="E21" s="44"/>
      <c r="F21" s="44"/>
      <c r="G21" s="44"/>
      <c r="H21" s="44"/>
      <c r="I21" s="44"/>
    </row>
    <row r="22" spans="1:9">
      <c r="A22" s="45" t="s">
        <v>237</v>
      </c>
      <c r="B22" s="44" t="s">
        <v>312</v>
      </c>
      <c r="C22" s="73">
        <f>'6.Cons Profit &amp; Loss'!B23</f>
        <v>24767570.143021178</v>
      </c>
      <c r="D22" s="73">
        <f>'6.Cons Profit &amp; Loss'!C23</f>
        <v>36394841.907713644</v>
      </c>
      <c r="E22" s="73">
        <f>'6.Cons Profit &amp; Loss'!D23</f>
        <v>43827491.703195952</v>
      </c>
      <c r="F22" s="73">
        <f>'6.Cons Profit &amp; Loss'!E23</f>
        <v>51912419.373457201</v>
      </c>
      <c r="G22" s="73">
        <f>'6.Cons Profit &amp; Loss'!F23</f>
        <v>60696271.081486613</v>
      </c>
      <c r="H22" s="73">
        <f>'6.Cons Profit &amp; Loss'!G23</f>
        <v>70228726.911885291</v>
      </c>
      <c r="I22" s="73">
        <f>'6.Cons Profit &amp; Loss'!H23</f>
        <v>80562687.647620142</v>
      </c>
    </row>
    <row r="23" spans="1:9">
      <c r="A23" s="45" t="s">
        <v>238</v>
      </c>
      <c r="B23" s="44" t="s">
        <v>310</v>
      </c>
      <c r="C23" s="41">
        <f>'6.Cons Profit &amp; Loss'!B34</f>
        <v>5432800</v>
      </c>
      <c r="D23" s="41">
        <f>'6.Cons Profit &amp; Loss'!C34</f>
        <v>5704440</v>
      </c>
      <c r="E23" s="41">
        <f>'6.Cons Profit &amp; Loss'!D34</f>
        <v>5989662</v>
      </c>
      <c r="F23" s="41">
        <f>'6.Cons Profit &amp; Loss'!E34</f>
        <v>6289145.1000000015</v>
      </c>
      <c r="G23" s="41">
        <f>'6.Cons Profit &amp; Loss'!F34</f>
        <v>6603602.3550000014</v>
      </c>
      <c r="H23" s="41">
        <f>'6.Cons Profit &amp; Loss'!G34</f>
        <v>6933782.4727500025</v>
      </c>
      <c r="I23" s="41">
        <f>'6.Cons Profit &amp; Loss'!H34</f>
        <v>7280471.5963875018</v>
      </c>
    </row>
    <row r="24" spans="1:9">
      <c r="A24" s="48">
        <v>3</v>
      </c>
      <c r="B24" s="40" t="s">
        <v>511</v>
      </c>
      <c r="C24" s="41"/>
      <c r="D24" s="41"/>
      <c r="E24" s="41"/>
      <c r="F24" s="41"/>
      <c r="G24" s="41"/>
      <c r="H24" s="41"/>
      <c r="I24" s="41"/>
    </row>
    <row r="25" spans="1:9">
      <c r="A25" s="45"/>
      <c r="B25" s="44" t="s">
        <v>240</v>
      </c>
      <c r="C25" s="41">
        <f>SUM('4.TL repayment sch'!E10:E21)</f>
        <v>2506620.8881161562</v>
      </c>
      <c r="D25" s="41">
        <f>SUM('4.TL repayment sch'!E22:E33)</f>
        <v>5568247.0808513416</v>
      </c>
      <c r="E25" s="41">
        <f>SUM('4.TL repayment sch'!E34:E45)</f>
        <v>6399820.399032509</v>
      </c>
      <c r="F25" s="41">
        <f>SUM('4.TL repayment sch'!E46:E57)</f>
        <v>7355582.5639853813</v>
      </c>
      <c r="G25" s="41">
        <f>SUM('4.TL repayment sch'!E58:E69)</f>
        <v>8454080.1900917422</v>
      </c>
      <c r="H25" s="41">
        <f>SUM('4.TL repayment sch'!E70:E81)</f>
        <v>9716629.6807600688</v>
      </c>
      <c r="I25" s="41">
        <f>SUM('4.TL repayment sch'!E82:E93)</f>
        <v>11167730.874339271</v>
      </c>
    </row>
    <row r="26" spans="1:9">
      <c r="A26" s="45"/>
      <c r="B26" s="44" t="s">
        <v>241</v>
      </c>
      <c r="C26" s="41">
        <f>SUM('4.TL repayment sch'!D10:D21)</f>
        <v>1954335.8588029749</v>
      </c>
      <c r="D26" s="41">
        <f>SUM('4.TL repayment sch'!D22:D33)</f>
        <v>1327210.0414669216</v>
      </c>
      <c r="E26" s="41">
        <f>SUM('4.TL repayment sch'!D34:D45)</f>
        <v>495636.72328575351</v>
      </c>
      <c r="F26" s="41">
        <f>SUM('4.TL repayment sch'!D46:D57)</f>
        <v>-460125.44166711898</v>
      </c>
      <c r="G26" s="41">
        <f>SUM('4.TL repayment sch'!D58:D69)</f>
        <v>-1558623.0677734795</v>
      </c>
      <c r="H26" s="41">
        <f>SUM('4.TL repayment sch'!D70:D81)</f>
        <v>-2821172.5584418084</v>
      </c>
      <c r="I26" s="41">
        <f>SUM('4.TL repayment sch'!D82:D93)</f>
        <v>-4272273.75202101</v>
      </c>
    </row>
    <row r="27" spans="1:9">
      <c r="A27" s="45"/>
      <c r="B27" s="44" t="s">
        <v>242</v>
      </c>
      <c r="C27" s="41">
        <f t="shared" ref="C27:I27" si="1">C11</f>
        <v>5083947.2812948059</v>
      </c>
      <c r="D27" s="41">
        <f t="shared" si="1"/>
        <v>8437590.4512080252</v>
      </c>
      <c r="E27" s="41">
        <f t="shared" si="1"/>
        <v>10131997.752666567</v>
      </c>
      <c r="F27" s="41">
        <f t="shared" si="1"/>
        <v>11974751.808142943</v>
      </c>
      <c r="G27" s="41">
        <f t="shared" si="1"/>
        <v>13976451.27478529</v>
      </c>
      <c r="H27" s="41">
        <f t="shared" si="1"/>
        <v>16127141.588044975</v>
      </c>
      <c r="I27" s="41">
        <f t="shared" si="1"/>
        <v>18457959.804443661</v>
      </c>
    </row>
    <row r="28" spans="1:9">
      <c r="A28" s="45"/>
      <c r="B28" s="44" t="s">
        <v>243</v>
      </c>
      <c r="C28" s="49">
        <f>C27*12%</f>
        <v>610073.67375537672</v>
      </c>
      <c r="D28" s="49">
        <f t="shared" ref="D28:G28" si="2">D27*12%</f>
        <v>1012510.854144963</v>
      </c>
      <c r="E28" s="49">
        <f t="shared" si="2"/>
        <v>1215839.730319988</v>
      </c>
      <c r="F28" s="49">
        <f t="shared" si="2"/>
        <v>1436970.2169771532</v>
      </c>
      <c r="G28" s="49">
        <f t="shared" si="2"/>
        <v>1677174.1529742347</v>
      </c>
      <c r="H28" s="49">
        <f t="shared" ref="H28:I28" si="3">H27*12%</f>
        <v>1935256.9905653968</v>
      </c>
      <c r="I28" s="49">
        <f t="shared" si="3"/>
        <v>2214955.1765332394</v>
      </c>
    </row>
    <row r="29" spans="1:9">
      <c r="A29" s="40">
        <v>4</v>
      </c>
      <c r="B29" s="40" t="s">
        <v>244</v>
      </c>
      <c r="C29" s="41">
        <f>'6.Cons Profit &amp; Loss'!B48</f>
        <v>-737787.25484688301</v>
      </c>
      <c r="D29" s="41">
        <f>'6.Cons Profit &amp; Loss'!C48</f>
        <v>492670.37616282073</v>
      </c>
      <c r="E29" s="41">
        <f>'6.Cons Profit &amp; Loss'!D48</f>
        <v>1470344.6182222487</v>
      </c>
      <c r="F29" s="41">
        <f>'6.Cons Profit &amp; Loss'!E48</f>
        <v>2508572.3476104531</v>
      </c>
      <c r="G29" s="41">
        <f>'6.Cons Profit &amp; Loss'!F48</f>
        <v>3621448.3338900818</v>
      </c>
      <c r="H29" s="41">
        <f>'6.Cons Profit &amp; Loss'!G48</f>
        <v>4748821.5467755562</v>
      </c>
      <c r="I29" s="41">
        <f>'6.Cons Profit &amp; Loss'!H48</f>
        <v>5967310.9515051246</v>
      </c>
    </row>
    <row r="30" spans="1:9">
      <c r="A30" s="40"/>
      <c r="B30" s="40" t="s">
        <v>245</v>
      </c>
      <c r="C30" s="50">
        <f t="shared" ref="C30:I30" si="4">SUM(C15:C29)</f>
        <v>81036753.07014361</v>
      </c>
      <c r="D30" s="50">
        <f t="shared" si="4"/>
        <v>58937510.71154771</v>
      </c>
      <c r="E30" s="50">
        <f t="shared" si="4"/>
        <v>69530792.926723033</v>
      </c>
      <c r="F30" s="50">
        <f t="shared" si="4"/>
        <v>81017315.968506008</v>
      </c>
      <c r="G30" s="50">
        <f t="shared" si="4"/>
        <v>93470404.320454493</v>
      </c>
      <c r="H30" s="50">
        <f t="shared" si="4"/>
        <v>106869186.63233948</v>
      </c>
      <c r="I30" s="50">
        <f t="shared" si="4"/>
        <v>121378842.29880792</v>
      </c>
    </row>
    <row r="31" spans="1:9">
      <c r="A31" s="40"/>
      <c r="B31" s="40" t="s">
        <v>246</v>
      </c>
      <c r="C31" s="50">
        <f t="shared" ref="C31:I31" si="5">C12-C30</f>
        <v>1379453.5328491777</v>
      </c>
      <c r="D31" s="50">
        <f t="shared" si="5"/>
        <v>547296.42083712667</v>
      </c>
      <c r="E31" s="50">
        <f t="shared" si="5"/>
        <v>2000434.1995142251</v>
      </c>
      <c r="F31" s="50">
        <f t="shared" si="5"/>
        <v>3616261.1331379861</v>
      </c>
      <c r="G31" s="50">
        <f t="shared" si="5"/>
        <v>5396929.6863213032</v>
      </c>
      <c r="H31" s="50">
        <f t="shared" si="5"/>
        <v>7112317.3871131241</v>
      </c>
      <c r="I31" s="50">
        <f t="shared" si="5"/>
        <v>8981080.399572283</v>
      </c>
    </row>
    <row r="32" spans="1:9">
      <c r="A32" s="48"/>
      <c r="B32" s="44" t="s">
        <v>247</v>
      </c>
      <c r="C32" s="44"/>
      <c r="D32" s="51">
        <f t="shared" ref="D32:I32" si="6">C33</f>
        <v>1379453.5328491777</v>
      </c>
      <c r="E32" s="51">
        <f t="shared" si="6"/>
        <v>1926749.9536863044</v>
      </c>
      <c r="F32" s="51">
        <f t="shared" si="6"/>
        <v>3927184.1532005295</v>
      </c>
      <c r="G32" s="51">
        <f t="shared" si="6"/>
        <v>7543445.2863385156</v>
      </c>
      <c r="H32" s="51">
        <f t="shared" si="6"/>
        <v>12940374.972659819</v>
      </c>
      <c r="I32" s="51">
        <f t="shared" si="6"/>
        <v>20052692.359772943</v>
      </c>
    </row>
    <row r="33" spans="1:10">
      <c r="A33" s="40"/>
      <c r="B33" s="52" t="s">
        <v>248</v>
      </c>
      <c r="C33" s="50">
        <f t="shared" ref="C33:I33" si="7">C31+C32</f>
        <v>1379453.5328491777</v>
      </c>
      <c r="D33" s="50">
        <f t="shared" si="7"/>
        <v>1926749.9536863044</v>
      </c>
      <c r="E33" s="50">
        <f t="shared" si="7"/>
        <v>3927184.1532005295</v>
      </c>
      <c r="F33" s="50">
        <f t="shared" si="7"/>
        <v>7543445.2863385156</v>
      </c>
      <c r="G33" s="50">
        <f t="shared" si="7"/>
        <v>12940374.972659819</v>
      </c>
      <c r="H33" s="50">
        <f t="shared" si="7"/>
        <v>20052692.359772943</v>
      </c>
      <c r="I33" s="50">
        <f t="shared" si="7"/>
        <v>29033772.759345226</v>
      </c>
    </row>
    <row r="35" spans="1:10" ht="39.950000000000003" customHeight="1">
      <c r="A35" s="453" t="s">
        <v>410</v>
      </c>
      <c r="B35" s="453"/>
      <c r="C35" s="453"/>
      <c r="D35" s="453"/>
      <c r="E35" s="453"/>
      <c r="F35" s="453"/>
      <c r="G35" s="453"/>
      <c r="H35" s="453"/>
      <c r="I35" s="453"/>
      <c r="J35" s="453"/>
    </row>
    <row r="37" spans="1:10">
      <c r="C37" s="67"/>
    </row>
    <row r="38" spans="1:10">
      <c r="C38" s="67"/>
    </row>
    <row r="39" spans="1:10">
      <c r="C39" s="67"/>
    </row>
    <row r="40" spans="1:10">
      <c r="C40" s="67"/>
    </row>
    <row r="41" spans="1:10">
      <c r="C41" s="67"/>
    </row>
  </sheetData>
  <mergeCells count="4">
    <mergeCell ref="A1:G1"/>
    <mergeCell ref="A13:B13"/>
    <mergeCell ref="A2:I2"/>
    <mergeCell ref="A35:J35"/>
  </mergeCells>
  <pageMargins left="0.70866141732283472" right="0.70866141732283472" top="0.74803149606299213" bottom="0.74803149606299213" header="0.31496062992125984" footer="0.31496062992125984"/>
  <pageSetup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2023-06-03T17:18:22Z</dcterms:modified>
</cp:coreProperties>
</file>